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da\Downloads\"/>
    </mc:Choice>
  </mc:AlternateContent>
  <xr:revisionPtr revIDLastSave="0" documentId="13_ncr:1_{801CC17E-9F6E-4162-A7C1-7DCDA9C6966C}" xr6:coauthVersionLast="45" xr6:coauthVersionMax="45" xr10:uidLastSave="{00000000-0000-0000-0000-000000000000}"/>
  <bookViews>
    <workbookView xWindow="-120" yWindow="-120" windowWidth="20730" windowHeight="11160" xr2:uid="{59B3AA9A-BBF2-4A89-A643-BAB54059EF10}"/>
  </bookViews>
  <sheets>
    <sheet name="TableofContents" sheetId="7" r:id="rId1"/>
    <sheet name="Entrees(001-099)" sheetId="1" r:id="rId2"/>
    <sheet name="Breakfast(100-199)" sheetId="2" r:id="rId3"/>
    <sheet name="Sides(200-299)" sheetId="3" r:id="rId4"/>
    <sheet name="Sweets,BakedGoods(300-399)" sheetId="4" r:id="rId5"/>
    <sheet name="Dressing,Sauce,Gravy(400-499)" sheetId="5" r:id="rId6"/>
    <sheet name="Misc(500-599)" sheetId="6" r:id="rId7"/>
    <sheet name="Item Weights and Measurements" sheetId="9" r:id="rId8"/>
  </sheets>
  <definedNames>
    <definedName name="_xlnm.Print_Area" localSheetId="2">'Breakfast(100-199)'!$A$244:$M$263</definedName>
    <definedName name="_xlnm.Print_Area" localSheetId="5">'Dressing,Sauce,Gravy(400-499)'!$A$420:$M$449</definedName>
    <definedName name="_xlnm.Print_Area" localSheetId="1">'Entrees(001-099)'!$A$2362:$M$2410</definedName>
    <definedName name="_xlnm.Print_Area" localSheetId="6">'Misc(500-599)'!$A$339:$M$368</definedName>
    <definedName name="_xlnm.Print_Area" localSheetId="3">'Sides(200-299)'!$A$96:$M$128</definedName>
    <definedName name="_xlnm.Print_Area" localSheetId="4">'Sweets,BakedGoods(300-399)'!$A$1:$M$43</definedName>
    <definedName name="_xlnm.Print_Area" localSheetId="0">TableofContents!$A$1:$N$65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7" i="4" l="1"/>
  <c r="O685" i="4"/>
  <c r="O2419" i="1" l="1"/>
  <c r="O667" i="4"/>
  <c r="O2417" i="1"/>
  <c r="O103" i="2" l="1"/>
  <c r="O613" i="1"/>
  <c r="O693" i="1" l="1"/>
  <c r="O466" i="1"/>
  <c r="O502" i="1"/>
  <c r="O500" i="1"/>
  <c r="O327" i="1" l="1"/>
  <c r="O1966" i="1"/>
  <c r="O520" i="1"/>
  <c r="O2421" i="1"/>
  <c r="O2423" i="1" s="1"/>
  <c r="O1962" i="1"/>
  <c r="O1944" i="1" l="1"/>
  <c r="O863" i="1"/>
  <c r="Q354" i="1"/>
  <c r="O354" i="1"/>
  <c r="O897" i="1" l="1"/>
  <c r="O755" i="1" l="1"/>
  <c r="O729" i="1"/>
  <c r="O279" i="1" l="1"/>
  <c r="O307" i="1" l="1"/>
  <c r="O1964" i="1"/>
  <c r="O2391" i="1"/>
  <c r="O617" i="1"/>
  <c r="O2375" i="1"/>
  <c r="O2379" i="1" l="1"/>
  <c r="O2385" i="1"/>
  <c r="Q12" i="5"/>
  <c r="O12" i="5"/>
  <c r="O745" i="1"/>
  <c r="O2393" i="1"/>
  <c r="Q116" i="1"/>
  <c r="O116" i="1"/>
  <c r="O120" i="1"/>
  <c r="O2437" i="1"/>
  <c r="Q366" i="1" l="1"/>
  <c r="O366" i="1"/>
  <c r="O751" i="1"/>
  <c r="O1942" i="1"/>
  <c r="O933" i="1"/>
  <c r="O522" i="1"/>
  <c r="Q165" i="2"/>
  <c r="Q163" i="2"/>
  <c r="O111" i="2"/>
  <c r="O26" i="2"/>
  <c r="O697" i="1"/>
  <c r="O309" i="1"/>
  <c r="O1930" i="1"/>
  <c r="O1922" i="1"/>
  <c r="O1920" i="1"/>
  <c r="O625" i="1"/>
  <c r="O629" i="1"/>
  <c r="O627" i="1"/>
  <c r="Q282" i="2"/>
  <c r="O1918" i="1"/>
  <c r="O113" i="2"/>
  <c r="O881" i="1"/>
  <c r="O879" i="1"/>
  <c r="O591" i="1"/>
  <c r="O911" i="1"/>
  <c r="O78" i="1"/>
  <c r="O595" i="1"/>
  <c r="O329" i="1"/>
  <c r="O331" i="1"/>
  <c r="O452" i="1" l="1"/>
  <c r="O1904" i="1"/>
  <c r="O97" i="1"/>
  <c r="O707" i="1"/>
  <c r="O131" i="2"/>
  <c r="O709" i="1"/>
  <c r="O589" i="1"/>
  <c r="O99" i="1"/>
  <c r="O677" i="4"/>
  <c r="O2377" i="1"/>
  <c r="O1936" i="1"/>
  <c r="O923" i="1"/>
  <c r="O458" i="1"/>
  <c r="O1932" i="1"/>
  <c r="O1912" i="1"/>
  <c r="O577" i="1"/>
  <c r="O699" i="1"/>
  <c r="O593" i="1"/>
  <c r="Q294" i="2"/>
  <c r="O1960" i="1"/>
  <c r="O1969" i="1" s="1"/>
  <c r="O12" i="2"/>
  <c r="Q12" i="4"/>
  <c r="O12" i="4"/>
  <c r="O10" i="2"/>
  <c r="O504" i="1"/>
  <c r="Q10" i="4"/>
  <c r="O10" i="4"/>
  <c r="Q180" i="1"/>
  <c r="O180" i="1"/>
  <c r="O673" i="4"/>
  <c r="Q161" i="2"/>
  <c r="O875" i="1"/>
  <c r="Q356" i="1"/>
  <c r="O356" i="1"/>
  <c r="Q215" i="1"/>
  <c r="O215" i="1"/>
  <c r="Q152" i="1"/>
  <c r="O152" i="1"/>
  <c r="O512" i="1"/>
  <c r="O623" i="1"/>
  <c r="O641" i="1"/>
  <c r="O518" i="1"/>
  <c r="O1940" i="1"/>
  <c r="O24" i="2"/>
  <c r="O653" i="1"/>
  <c r="Q155" i="2"/>
  <c r="O657" i="1"/>
  <c r="O510" i="1"/>
  <c r="Q190" i="1"/>
  <c r="O190" i="1"/>
  <c r="O464" i="1"/>
  <c r="O1928" i="1"/>
  <c r="O615" i="1"/>
  <c r="O524" i="1"/>
  <c r="O1938" i="1"/>
  <c r="Q286" i="2"/>
  <c r="O28" i="2"/>
  <c r="O6" i="2"/>
  <c r="Q6" i="4"/>
  <c r="O6" i="4"/>
  <c r="Q192" i="1"/>
  <c r="O192" i="1"/>
  <c r="Q217" i="1"/>
  <c r="O217" i="1"/>
  <c r="O18" i="2"/>
  <c r="Q18" i="4"/>
  <c r="O18" i="4"/>
  <c r="O22" i="2"/>
  <c r="Q348" i="1"/>
  <c r="O348" i="1"/>
  <c r="O733" i="1"/>
  <c r="O643" i="1"/>
  <c r="O637" i="1"/>
  <c r="O669" i="4"/>
  <c r="Q159" i="2"/>
  <c r="Q292" i="2"/>
  <c r="Q300" i="2"/>
  <c r="Q296" i="2"/>
  <c r="O665" i="4"/>
  <c r="O655" i="1"/>
  <c r="O516" i="1"/>
  <c r="O917" i="1"/>
  <c r="O460" i="1"/>
  <c r="O645" i="1"/>
  <c r="Q8" i="5"/>
  <c r="O8" i="5"/>
  <c r="O85" i="1"/>
  <c r="O393" i="1"/>
  <c r="O87" i="1"/>
  <c r="O2373" i="1"/>
  <c r="O877" i="1"/>
  <c r="O69" i="4"/>
  <c r="O54" i="4"/>
  <c r="O935" i="1"/>
  <c r="O741" i="1"/>
  <c r="Q32" i="5"/>
  <c r="O32" i="5"/>
  <c r="O251" i="1"/>
  <c r="O647" i="1"/>
  <c r="O2397" i="1"/>
  <c r="N160" i="3"/>
  <c r="O64" i="4"/>
  <c r="O901" i="1"/>
  <c r="O567" i="1"/>
  <c r="O735" i="1"/>
  <c r="O281" i="1"/>
  <c r="O56" i="4"/>
  <c r="O739" i="1"/>
  <c r="O303" i="1"/>
  <c r="O275" i="1"/>
  <c r="O247" i="1"/>
  <c r="O2387" i="1"/>
  <c r="N156" i="3"/>
  <c r="O671" i="4"/>
  <c r="O907" i="1"/>
  <c r="O921" i="1"/>
  <c r="O925" i="1"/>
  <c r="O753" i="1"/>
  <c r="O58" i="4"/>
  <c r="O1926" i="1"/>
  <c r="O2381" i="1"/>
  <c r="O1924" i="1"/>
  <c r="O73" i="4"/>
  <c r="O749" i="1"/>
  <c r="O277" i="1"/>
  <c r="O249" i="1"/>
  <c r="O62" i="4"/>
  <c r="O737" i="1"/>
  <c r="O913" i="1"/>
  <c r="O915" i="1"/>
  <c r="Q157" i="2"/>
  <c r="O107" i="2"/>
  <c r="O703" i="1"/>
  <c r="O651" i="1"/>
  <c r="O72" i="4"/>
  <c r="O115" i="2"/>
  <c r="O587" i="1"/>
  <c r="O93" i="1" l="1"/>
  <c r="O585" i="1"/>
  <c r="O468" i="1"/>
  <c r="O508" i="1"/>
  <c r="O1910" i="1"/>
  <c r="Q362" i="1"/>
  <c r="O362" i="1"/>
  <c r="O125" i="2"/>
  <c r="O633" i="1"/>
  <c r="O575" i="1"/>
  <c r="O679" i="4"/>
  <c r="Q153" i="2"/>
  <c r="Q298" i="2"/>
  <c r="O2371" i="1"/>
  <c r="O129" i="2"/>
  <c r="O869" i="1"/>
  <c r="O695" i="1"/>
  <c r="O873" i="1"/>
  <c r="O597" i="1"/>
  <c r="Q358" i="1"/>
  <c r="O358" i="1"/>
  <c r="O456" i="1"/>
  <c r="O1908" i="1"/>
  <c r="Q368" i="1"/>
  <c r="O368" i="1"/>
  <c r="O919" i="1"/>
  <c r="O573" i="1"/>
  <c r="O105" i="2"/>
  <c r="O454" i="1"/>
  <c r="O1906" i="1"/>
  <c r="O865" i="1"/>
  <c r="O569" i="1"/>
  <c r="O743" i="1"/>
  <c r="O639" i="1"/>
  <c r="O701" i="1"/>
  <c r="O506" i="1"/>
  <c r="Q118" i="1"/>
  <c r="O118" i="1"/>
  <c r="O16" i="2"/>
  <c r="O472" i="1"/>
  <c r="O1916" i="1"/>
  <c r="Q16" i="4"/>
  <c r="O16" i="4"/>
  <c r="O683" i="4"/>
  <c r="Q151" i="2"/>
  <c r="Q284" i="2"/>
  <c r="O123" i="2"/>
  <c r="O871" i="1"/>
  <c r="O571" i="1"/>
  <c r="Q360" i="1"/>
  <c r="O360" i="1"/>
  <c r="Q182" i="1"/>
  <c r="O182" i="1"/>
  <c r="O91" i="1"/>
  <c r="O583" i="1"/>
  <c r="O675" i="4"/>
  <c r="Q290" i="2"/>
  <c r="O929" i="1"/>
  <c r="O619" i="1"/>
  <c r="O474" i="1"/>
  <c r="O731" i="1"/>
  <c r="O127" i="2"/>
  <c r="O705" i="1"/>
  <c r="Q186" i="1"/>
  <c r="O186" i="1"/>
  <c r="Q149" i="2"/>
  <c r="O14" i="2"/>
  <c r="Q14" i="4"/>
  <c r="O14" i="4"/>
  <c r="Q184" i="1"/>
  <c r="O184" i="1"/>
  <c r="Q147" i="2"/>
  <c r="Q280" i="2"/>
  <c r="O20" i="2"/>
  <c r="O109" i="2"/>
  <c r="Q20" i="4"/>
  <c r="O20" i="4"/>
  <c r="O931" i="1"/>
  <c r="O867" i="1"/>
  <c r="Q352" i="1"/>
  <c r="O352" i="1"/>
  <c r="O857" i="1"/>
  <c r="Q22" i="4"/>
  <c r="O22" i="4"/>
  <c r="Q350" i="1"/>
  <c r="O350" i="1"/>
  <c r="O89" i="1"/>
  <c r="O581" i="1"/>
  <c r="O121" i="2"/>
  <c r="O713" i="1"/>
  <c r="O631" i="1"/>
  <c r="O659" i="1" s="1"/>
  <c r="O470" i="1"/>
  <c r="O528" i="1"/>
  <c r="O1946" i="1"/>
  <c r="O909" i="1"/>
  <c r="O2383" i="1"/>
  <c r="Q10" i="5"/>
  <c r="O10" i="5"/>
  <c r="N162" i="3"/>
  <c r="O71" i="4"/>
  <c r="O2369" i="1"/>
  <c r="O81" i="1"/>
  <c r="O2389" i="1"/>
  <c r="Q18" i="5"/>
  <c r="O18" i="5"/>
  <c r="O66" i="4"/>
  <c r="O905" i="1"/>
  <c r="O2367" i="1"/>
  <c r="N158" i="3"/>
  <c r="O899" i="1"/>
  <c r="O70" i="4"/>
  <c r="O60" i="4"/>
  <c r="O2401" i="1"/>
  <c r="Q16" i="5"/>
  <c r="O16" i="5"/>
  <c r="O95" i="1"/>
  <c r="O283" i="1"/>
  <c r="O83" i="1"/>
  <c r="O311" i="1"/>
  <c r="Q30" i="5"/>
  <c r="O30" i="5"/>
  <c r="O253" i="1"/>
  <c r="Q22" i="5"/>
  <c r="O22" i="5"/>
  <c r="Q20" i="5"/>
  <c r="O20" i="5"/>
  <c r="Q24" i="5"/>
  <c r="O24" i="5"/>
  <c r="Q28" i="5"/>
  <c r="O28" i="5"/>
  <c r="O50" i="4"/>
  <c r="Q24" i="4"/>
  <c r="Q26" i="5"/>
  <c r="O26" i="5"/>
  <c r="N164" i="3"/>
  <c r="O305" i="1"/>
  <c r="Q1618" i="1"/>
  <c r="Q1596" i="1"/>
  <c r="O1733" i="1"/>
  <c r="O681" i="4" l="1"/>
  <c r="Q288" i="2"/>
  <c r="Q278" i="2"/>
  <c r="O861" i="1"/>
  <c r="O859" i="1"/>
  <c r="O30" i="2"/>
  <c r="O29" i="2"/>
  <c r="O715" i="1"/>
  <c r="Q194" i="1"/>
  <c r="Q6" i="5"/>
  <c r="Q34" i="5" s="1"/>
  <c r="O6" i="5"/>
  <c r="O2403" i="1"/>
  <c r="O304" i="5"/>
  <c r="O254" i="5"/>
  <c r="O336" i="5"/>
  <c r="O105" i="5"/>
  <c r="O689" i="4" l="1"/>
  <c r="Q689" i="4"/>
  <c r="Q150" i="1"/>
  <c r="Q213" i="1"/>
  <c r="Q211" i="1"/>
  <c r="Q148" i="1"/>
  <c r="Q154" i="1" s="1"/>
  <c r="Q88" i="2"/>
  <c r="O51" i="2" s="1"/>
  <c r="O53" i="2" s="1"/>
  <c r="O89" i="2"/>
  <c r="Q302" i="2"/>
  <c r="O588" i="2"/>
  <c r="O326" i="2"/>
  <c r="O706" i="2"/>
  <c r="R257" i="2"/>
  <c r="O257" i="2"/>
  <c r="O24" i="4"/>
  <c r="O236" i="2"/>
  <c r="O207" i="2"/>
  <c r="Q167" i="2"/>
  <c r="O117" i="2"/>
  <c r="O133" i="2" s="1"/>
  <c r="O30" i="1" l="1"/>
  <c r="Q370" i="1"/>
  <c r="O370" i="1"/>
  <c r="O68" i="4"/>
  <c r="O74" i="4"/>
  <c r="O56" i="6"/>
  <c r="O1488" i="1" s="1"/>
  <c r="O1490" i="1" s="1"/>
  <c r="O1361" i="1"/>
  <c r="O1697" i="1"/>
  <c r="O1654" i="1"/>
  <c r="O1322" i="1"/>
  <c r="Q70" i="4" l="1"/>
  <c r="O1602" i="1"/>
  <c r="O12" i="3" l="1"/>
  <c r="O34" i="5"/>
  <c r="O194" i="1"/>
  <c r="O211" i="1" s="1"/>
  <c r="O1443" i="1"/>
  <c r="Q1443" i="1" s="1"/>
  <c r="O1399" i="1"/>
  <c r="O207" i="4"/>
  <c r="O213" i="1" l="1"/>
  <c r="O747" i="1"/>
  <c r="O757" i="1" s="1"/>
  <c r="O301" i="1"/>
  <c r="O273" i="1"/>
  <c r="O245" i="1"/>
  <c r="O150" i="1"/>
  <c r="Q219" i="1"/>
  <c r="O299" i="1"/>
  <c r="O313" i="1" s="1"/>
  <c r="O271" i="1"/>
  <c r="O285" i="1" s="1"/>
  <c r="O243" i="1"/>
  <c r="O255" i="1" s="1"/>
  <c r="O219" i="1"/>
  <c r="O148" i="1"/>
  <c r="O154" i="1" s="1"/>
  <c r="O476" i="1" l="1"/>
  <c r="O478" i="1" s="1"/>
  <c r="Q122" i="1"/>
  <c r="O122" i="1"/>
  <c r="O937" i="1"/>
  <c r="O939" i="1" s="1"/>
  <c r="O395" i="1"/>
  <c r="O101" i="1"/>
  <c r="Q124" i="1"/>
  <c r="Q567" i="1"/>
  <c r="O855" i="1" s="1"/>
  <c r="O883" i="1" s="1"/>
  <c r="O599" i="1"/>
  <c r="O334" i="1"/>
  <c r="O397" i="1"/>
  <c r="O124" i="1"/>
  <c r="O103" i="1"/>
</calcChain>
</file>

<file path=xl/sharedStrings.xml><?xml version="1.0" encoding="utf-8"?>
<sst xmlns="http://schemas.openxmlformats.org/spreadsheetml/2006/main" count="15702" uniqueCount="6718">
  <si>
    <t>TABLE OF CONTENTS</t>
  </si>
  <si>
    <t>Entrees</t>
  </si>
  <si>
    <t>Breakfast</t>
  </si>
  <si>
    <t>Sides</t>
  </si>
  <si>
    <t>001</t>
  </si>
  <si>
    <t>Beef and Bean Burrito (USDA)</t>
  </si>
  <si>
    <t>100</t>
  </si>
  <si>
    <t>Brekkie Cracker/Biscuit (Siena Van Meter)</t>
  </si>
  <si>
    <t>Asparagus with Parmesan (Wolf Bistro)</t>
  </si>
  <si>
    <t>002</t>
  </si>
  <si>
    <t>Penne Pasta with Meat Sauce (The Lunch Box)</t>
  </si>
  <si>
    <t>101</t>
  </si>
  <si>
    <t>Baked French Toast (USDA)</t>
  </si>
  <si>
    <t>Baked Beans (The Lunch Box)</t>
  </si>
  <si>
    <t>003</t>
  </si>
  <si>
    <t>Baked Potato with Taco Meat (The Lunch Box)</t>
  </si>
  <si>
    <t>102</t>
  </si>
  <si>
    <t>Banana Muffins (Family Recipe)</t>
  </si>
  <si>
    <t>Beans Refried Pinto (The Lunch Box)</t>
  </si>
  <si>
    <t>004</t>
  </si>
  <si>
    <t>BBQ Chicken Sandwich (USDA)</t>
  </si>
  <si>
    <t>103</t>
  </si>
  <si>
    <t>Chewy Granola Bars (The Lunch Box)</t>
  </si>
  <si>
    <t>Cauliflower &amp; Broccoli with Cheese (The Lunch Box)</t>
  </si>
  <si>
    <t>005</t>
  </si>
  <si>
    <t>Beef and Bean Tamale Pie (USDA)</t>
  </si>
  <si>
    <t>104</t>
  </si>
  <si>
    <t>Craisy Pumpkin Breakfast Bars (Livewellcolorado.org)</t>
  </si>
  <si>
    <t>Tortilla Soup (The Lunch Box)</t>
  </si>
  <si>
    <t>006</t>
  </si>
  <si>
    <t>Beef Burrito Bowl (The Lunch Box)</t>
  </si>
  <si>
    <t>105</t>
  </si>
  <si>
    <t>Crepes (Wolf Bistro)</t>
  </si>
  <si>
    <t>Chili Roasted Sweet Potatoes (USDA)</t>
  </si>
  <si>
    <t>007</t>
  </si>
  <si>
    <t>Beef Stew (USDA)</t>
  </si>
  <si>
    <t>106</t>
  </si>
  <si>
    <t>Mixed Berries and Yogurt Smoothies (General Mills)</t>
  </si>
  <si>
    <t>Cilantro-Lime Brown Rice (USDA)</t>
  </si>
  <si>
    <t>008</t>
  </si>
  <si>
    <t>Beef Taco (USDA)</t>
  </si>
  <si>
    <t>107</t>
  </si>
  <si>
    <t>Breakfast Burrito (The Lunch Box)</t>
  </si>
  <si>
    <t>Creamy Coleslaw (USDA)</t>
  </si>
  <si>
    <t>009</t>
  </si>
  <si>
    <t>Bistro Spinach Salad (USDA)</t>
  </si>
  <si>
    <t>108</t>
  </si>
  <si>
    <t>Cinnamon Rolls (USDA)</t>
  </si>
  <si>
    <t>Creamy Tomato Soup (The Lunch Box)</t>
  </si>
  <si>
    <t>010</t>
  </si>
  <si>
    <t>Black Bean Veggie Burger - Vegan &amp; Gluten Free (showmetheyummy.com)</t>
  </si>
  <si>
    <t>109</t>
  </si>
  <si>
    <t>Granola (USDA)</t>
  </si>
  <si>
    <t>Greek Garbanzo Bean Salad (Wolf Bistro Recipe)</t>
  </si>
  <si>
    <t>011</t>
  </si>
  <si>
    <t>Black Bean Veggie Burger (Allrecipes.com)</t>
  </si>
  <si>
    <t>110</t>
  </si>
  <si>
    <t>Green Eggs and Ham (USDA)</t>
  </si>
  <si>
    <t>Hummus (USDA)</t>
  </si>
  <si>
    <t>012</t>
  </si>
  <si>
    <t>Buffalo Chicken Sliders (The Lunch Box)</t>
  </si>
  <si>
    <t>111</t>
  </si>
  <si>
    <t>Peach Spice Muffin (The Lunch Box)</t>
  </si>
  <si>
    <t>Italian Garbanzo Salad (Health.com)</t>
  </si>
  <si>
    <t>013</t>
  </si>
  <si>
    <t>Chicken Burritos (The Lunch Box)</t>
  </si>
  <si>
    <t>112</t>
  </si>
  <si>
    <t>Mixed Berry Vanilla Yogurt Parfait (Pinnacle)</t>
  </si>
  <si>
    <t>Pasta Salad (USDA)</t>
  </si>
  <si>
    <t>014</t>
  </si>
  <si>
    <t>Homemade Chicken Citrus Soup (USDA)</t>
  </si>
  <si>
    <t>113</t>
  </si>
  <si>
    <t>Muffin Squares (USDA)</t>
  </si>
  <si>
    <t>Mashed Potatoes (The Lunch Box)</t>
  </si>
  <si>
    <t>015</t>
  </si>
  <si>
    <t>Chicken Enchiladas (The Lunch Box)</t>
  </si>
  <si>
    <t>114</t>
  </si>
  <si>
    <t>Pancakes (USDA)</t>
  </si>
  <si>
    <t>Pasta (The Lunch Box)</t>
  </si>
  <si>
    <t>016</t>
  </si>
  <si>
    <t>Chicken Fried Rice (USDA)</t>
  </si>
  <si>
    <t>115</t>
  </si>
  <si>
    <t>Pepper Jack Egg White Frittata (DairyGood.org)</t>
  </si>
  <si>
    <t>Puerto Rican Rice (Jeannine Davison)</t>
  </si>
  <si>
    <t>017</t>
  </si>
  <si>
    <t>Chicken Kung Pao Bowl (The Lunch Box)</t>
  </si>
  <si>
    <t>116</t>
  </si>
  <si>
    <t>Side Breakfast Potato Chips (The Lunch Box)</t>
  </si>
  <si>
    <t>Rice Brown - Oven or Steamer (Lunch Box)</t>
  </si>
  <si>
    <t>018</t>
  </si>
  <si>
    <t>Chicken Patty (Spicy and Regular) - 4 oz (US Foods)</t>
  </si>
  <si>
    <t>117</t>
  </si>
  <si>
    <t>Scrambled Eggs (USDA)</t>
  </si>
  <si>
    <t>Rice - Oven or Steamer (USDA)</t>
  </si>
  <si>
    <t>019</t>
  </si>
  <si>
    <t>Chicken Patty - Grilled (Pinnacle Charter School)</t>
  </si>
  <si>
    <t>118</t>
  </si>
  <si>
    <t>Summer Vegetable Frittata (USDA)</t>
  </si>
  <si>
    <t>Roasted Butternut Squash (USDA)</t>
  </si>
  <si>
    <t>020</t>
  </si>
  <si>
    <t>Chicken Piccata (The Lunch Box)</t>
  </si>
  <si>
    <t>119</t>
  </si>
  <si>
    <t>Sun Butter, Banana &amp; Chia Seed Toast (TheSkinnyFork.com)</t>
  </si>
  <si>
    <t>Oven Fries (The Lunch Box)</t>
  </si>
  <si>
    <t>021</t>
  </si>
  <si>
    <t>Chicken Pot Pie Soup (Parents Magazine)</t>
  </si>
  <si>
    <t>120</t>
  </si>
  <si>
    <t>Tomato Frittata (Bonappetit.com)</t>
  </si>
  <si>
    <t>Savory Sweet Potato Fries (The Lunch Box)</t>
  </si>
  <si>
    <t>022</t>
  </si>
  <si>
    <t>Chicken Quesadilla (The Lunch Box)</t>
  </si>
  <si>
    <t>121</t>
  </si>
  <si>
    <t>Whole Wheat Blueberry Muffins (My4NonBlondes)</t>
  </si>
  <si>
    <t>221</t>
  </si>
  <si>
    <t>Corn Salad (The Lunch Box)</t>
  </si>
  <si>
    <t>023</t>
  </si>
  <si>
    <t>Chicken or Turkey Noodle Soup (USDA)</t>
  </si>
  <si>
    <t>222</t>
  </si>
  <si>
    <t>Side Sweet Potato Chips (The Lunch Box)</t>
  </si>
  <si>
    <t>024</t>
  </si>
  <si>
    <t>Beef Chili (USDA)</t>
  </si>
  <si>
    <t>223</t>
  </si>
  <si>
    <t>Tangy Bean Salad (Myrecipes.com)</t>
  </si>
  <si>
    <t>025</t>
  </si>
  <si>
    <t>Cuban Sandwich (The Lunch Box)</t>
  </si>
  <si>
    <t>224</t>
  </si>
  <si>
    <t>Zucchini with Potatoes and Thyme (Bonappetit.com)</t>
  </si>
  <si>
    <t>026</t>
  </si>
  <si>
    <t>Hamburger/Cheeseburger (USFoods)</t>
  </si>
  <si>
    <t>225</t>
  </si>
  <si>
    <t>Oven-Roasted Rosemary Thyme Potatoes (thespruceeats.com)</t>
  </si>
  <si>
    <t>027</t>
  </si>
  <si>
    <t>Lasagna with Ground Beef (USDA)</t>
  </si>
  <si>
    <t>226</t>
  </si>
  <si>
    <t>Steamed Vegetable Medley (Wolf Bistro)</t>
  </si>
  <si>
    <t>028</t>
  </si>
  <si>
    <t>Macaroni and Cheese (The Lunch Box)</t>
  </si>
  <si>
    <t>227</t>
  </si>
  <si>
    <t>Side Salad Bar (Wolf Bistro)</t>
  </si>
  <si>
    <t>029</t>
  </si>
  <si>
    <t>Meatballs (USDA)</t>
  </si>
  <si>
    <t>228</t>
  </si>
  <si>
    <t>Michael's Black Beans (M. Clayton)</t>
  </si>
  <si>
    <t>030</t>
  </si>
  <si>
    <t>Orange Chicken (The Lunch Box)</t>
  </si>
  <si>
    <t>229</t>
  </si>
  <si>
    <t>Carrot's de Michael (M. Clayton)</t>
  </si>
  <si>
    <t>031</t>
  </si>
  <si>
    <t>Philly Cheesesteak Sandwich (The Lunch Box)</t>
  </si>
  <si>
    <t>230</t>
  </si>
  <si>
    <t>Sweet Potato Hash (M. Clayton)</t>
  </si>
  <si>
    <t>032</t>
  </si>
  <si>
    <t>Pizza - Cheese (The Lunch Box)</t>
  </si>
  <si>
    <t>231</t>
  </si>
  <si>
    <t>Stewed Zucchini/Squash (M. Clayton)</t>
  </si>
  <si>
    <t>033</t>
  </si>
  <si>
    <t>Pizza Crust (USDA)</t>
  </si>
  <si>
    <t>232</t>
  </si>
  <si>
    <t>Garlic Roasted Cauliflower</t>
  </si>
  <si>
    <t>034</t>
  </si>
  <si>
    <t>Pizza - Pepperoni (The Lunch Box)</t>
  </si>
  <si>
    <t>035</t>
  </si>
  <si>
    <t>Pizza - Sausage (The Lunch Box)</t>
  </si>
  <si>
    <t>036</t>
  </si>
  <si>
    <t>Pizza - Supreme (The Lunch Box)</t>
  </si>
  <si>
    <t>037</t>
  </si>
  <si>
    <t>Pizza - Vegetable (The Lunch Box)</t>
  </si>
  <si>
    <t>038</t>
  </si>
  <si>
    <t>Pulled Pork Soft Tacos (The Lunch Box)</t>
  </si>
  <si>
    <t>039</t>
  </si>
  <si>
    <t>Reuben Sandwich (The Lunch Box)</t>
  </si>
  <si>
    <t>040</t>
  </si>
  <si>
    <t>Roasted Butternut Squash Soup (Cookieandkate.com)</t>
  </si>
  <si>
    <t>041</t>
  </si>
  <si>
    <t>Sesame Asian Noodle Chicken Salad (USDA)</t>
  </si>
  <si>
    <t>042</t>
  </si>
  <si>
    <t>Shrimp and Okra Gumbo (Allrecipes.com)</t>
  </si>
  <si>
    <t>043</t>
  </si>
  <si>
    <t>Sloppy Joe on Roll (USDA)</t>
  </si>
  <si>
    <t>044</t>
  </si>
  <si>
    <t>Southwest Spiced Chicken (Livewellcolorado.org)</t>
  </si>
  <si>
    <t>045</t>
  </si>
  <si>
    <t>Spaghetti with Meat Sauce (USDA)</t>
  </si>
  <si>
    <t>046</t>
  </si>
  <si>
    <t>Spicy Lemon Hummus (USDA)</t>
  </si>
  <si>
    <t>047</t>
  </si>
  <si>
    <t>Spicy Pumpkin &amp; Sweet Potato Soup (Allrecipes.com)</t>
  </si>
  <si>
    <t>048</t>
  </si>
  <si>
    <t>Sub Sandwich - Turkey or Ham and Cheese (The Lunch Box)</t>
  </si>
  <si>
    <t>049</t>
  </si>
  <si>
    <t>Sweet, Sticky &amp; Spicy Chicken (katemartino.com)</t>
  </si>
  <si>
    <t>050</t>
  </si>
  <si>
    <t>Taco Meat with Lentils (The Lunch Box)</t>
  </si>
  <si>
    <t>051</t>
  </si>
  <si>
    <t>Thai Curry (Wolf Bistro Recipe)</t>
  </si>
  <si>
    <t>052</t>
  </si>
  <si>
    <t>Three Sisters Enchiladas (USDA)</t>
  </si>
  <si>
    <t>053</t>
  </si>
  <si>
    <t>Toasted Cheese Sandwich (USDA)</t>
  </si>
  <si>
    <t>054</t>
  </si>
  <si>
    <t>Toasted Turkey Ham and Cheese Sandwich (USDA)</t>
  </si>
  <si>
    <t>055</t>
  </si>
  <si>
    <t>Vegetable Chili (USDA)</t>
  </si>
  <si>
    <t>056</t>
  </si>
  <si>
    <t>Vegetable Lasagna (The Lunch Box)</t>
  </si>
  <si>
    <t>057</t>
  </si>
  <si>
    <t>Vegetable Quesadilla (USDA)</t>
  </si>
  <si>
    <t>058</t>
  </si>
  <si>
    <t>Vegetable Wraps (USDA)</t>
  </si>
  <si>
    <t>059</t>
  </si>
  <si>
    <t>Nachos with Taco Meat and Cheese Sauce (Allrecipes.com)</t>
  </si>
  <si>
    <t>060</t>
  </si>
  <si>
    <t>My Best Clam Chowder (Allrecipes.com)</t>
  </si>
  <si>
    <t>061</t>
  </si>
  <si>
    <t>Thai Pumpkin Soup (Foodandwine.com)</t>
  </si>
  <si>
    <t>062</t>
  </si>
  <si>
    <t>Chicken Caesar Wrap (Jeannine Davison)</t>
  </si>
  <si>
    <t>063</t>
  </si>
  <si>
    <t>Puerto Rican Beans and Rice (J. Davison)</t>
  </si>
  <si>
    <t>064</t>
  </si>
  <si>
    <t>PB&amp;J (Wolf Bistro)</t>
  </si>
  <si>
    <t>065</t>
  </si>
  <si>
    <t>Popcorn Chicken Smackers (Gold Kist)</t>
  </si>
  <si>
    <t>066</t>
  </si>
  <si>
    <t>Caesar Salad (Wolf Bistro)</t>
  </si>
  <si>
    <t>067</t>
  </si>
  <si>
    <t>Mixed Green Salad (Wolf Bistro)</t>
  </si>
  <si>
    <t>068</t>
  </si>
  <si>
    <t>Chef Salad (The Academy)</t>
  </si>
  <si>
    <t>Sweets, Baked Goods</t>
  </si>
  <si>
    <t>Dressings, Sauces, Gravies</t>
  </si>
  <si>
    <t>Miscellaneous</t>
  </si>
  <si>
    <t>Apple Crisp with Oat Topping (USDA)</t>
  </si>
  <si>
    <t>Caesar Dressing (The Lunch Box)</t>
  </si>
  <si>
    <t>Butter for Italian Bread (Wolf Bistro Recipe)</t>
  </si>
  <si>
    <t>The Best Rolled Sugar Cookies (Allrecipes.com)</t>
  </si>
  <si>
    <t>Chicken or Turkey Gravy (USDA)</t>
  </si>
  <si>
    <t>Cheese Mixture for Lasagna (Wolf Bistro Recipe)</t>
  </si>
  <si>
    <t>Butter Frosting (Spark Recipes)</t>
  </si>
  <si>
    <t>Creamy Dip for Fresh Vegetables (USDA)</t>
  </si>
  <si>
    <t>Squash and Carrots Seasoning (Team Nutrition Iowa)</t>
  </si>
  <si>
    <t>Buttermilk Biscuits (USDA)</t>
  </si>
  <si>
    <t>Easy Coleslaw Dressing (Allrecipes.com)</t>
  </si>
  <si>
    <t>Homemade Croutons (Wolf Bistro)</t>
  </si>
  <si>
    <t>Cornbread (USDA)</t>
  </si>
  <si>
    <t>Enchilada Sauce (WholesomeYum.com)</t>
  </si>
  <si>
    <t>Garlic Butter for Garlic Bread (Wolf Bistro Recipe)</t>
  </si>
  <si>
    <t>Flourless Peanut Butter Cookies (Geniuskitchen.com)</t>
  </si>
  <si>
    <t>Enchilada Sauce - Classic (The Lunch Box)</t>
  </si>
  <si>
    <t>How to Cook Dry Beans (USDA)</t>
  </si>
  <si>
    <t>Homemade Hot Cocoa (Jeannine Davison)</t>
  </si>
  <si>
    <t>Italian Dressing (USDA)</t>
  </si>
  <si>
    <t>506</t>
  </si>
  <si>
    <t>Italian Seasoning Mix (USDA)</t>
  </si>
  <si>
    <t>Garlic Bread (USDA)</t>
  </si>
  <si>
    <t>Lemon Dijon Vinaigrette Dressing (Geniuskitchen.com)</t>
  </si>
  <si>
    <t>507</t>
  </si>
  <si>
    <t>Mexican Seasoning (Wolf Bistro)</t>
  </si>
  <si>
    <t>Brownies (The Lunch Box)</t>
  </si>
  <si>
    <t>Lemon Poppyseed Dressing (Allrecipes.com)</t>
  </si>
  <si>
    <t>508</t>
  </si>
  <si>
    <t>Peanut Butter Noodles (Allrecipes.com)</t>
  </si>
  <si>
    <t>Mega-Cheese Muffin (National Dairy Council)</t>
  </si>
  <si>
    <t>Greek Tzatziki (Allrecipes.com)</t>
  </si>
  <si>
    <t>509</t>
  </si>
  <si>
    <t>Potato Seasoning (Low Sodium) (Team Nutrition Iowa)</t>
  </si>
  <si>
    <t>Empanada Dough (Epicurious.com)</t>
  </si>
  <si>
    <t>Pizza - Sauce (The Lunch Box)</t>
  </si>
  <si>
    <t>510</t>
  </si>
  <si>
    <t>Sauerkraut (Lori Ballinger)</t>
  </si>
  <si>
    <t>Oatmeal Craisin Cookies (The Lunch Box)</t>
  </si>
  <si>
    <t>411</t>
  </si>
  <si>
    <t>Ranch Dressing (USDA)</t>
  </si>
  <si>
    <t>511</t>
  </si>
  <si>
    <t>Southwest Spice Rub (Livewellcolorado.org)</t>
  </si>
  <si>
    <t>Potato Chive Biscuits (Wolf Bistro)</t>
  </si>
  <si>
    <t>412</t>
  </si>
  <si>
    <t>Stir-Fry Sauce (USDA)</t>
  </si>
  <si>
    <t>512</t>
  </si>
  <si>
    <t>Top Pastry Crust (Steamtable Pans) (USDA)</t>
  </si>
  <si>
    <t>Pumpkin Spice Muffins or Muffin Squares (USDA)</t>
  </si>
  <si>
    <t>413</t>
  </si>
  <si>
    <t>Teriyaki Sauce (USDA)</t>
  </si>
  <si>
    <t>513</t>
  </si>
  <si>
    <t>Vegetable &amp; Fries Seasoning (Low Sodium) (Team Nutrition Iowa)</t>
  </si>
  <si>
    <t>Rolls - Yeast &amp; Slider Buns (USDA)</t>
  </si>
  <si>
    <t>414</t>
  </si>
  <si>
    <t>Thousand Island Dressing (USDA)</t>
  </si>
  <si>
    <t>514</t>
  </si>
  <si>
    <t>Vegetable Seasoning (Low Sodium) (Team Nutrition Iowa)</t>
  </si>
  <si>
    <t>Raspberry Almond Kiss Cookies (Allrecipes.com)</t>
  </si>
  <si>
    <t>415</t>
  </si>
  <si>
    <t>Oil and Vinegar Dressing (Michael Clayton)</t>
  </si>
  <si>
    <t>515</t>
  </si>
  <si>
    <t>Pico de Gallo (Jule Zehrung)</t>
  </si>
  <si>
    <t>Stewed Apples (USDA)</t>
  </si>
  <si>
    <t>Flatbread (Siena Van Meter)</t>
  </si>
  <si>
    <t>Whipped Topping (USDA)</t>
  </si>
  <si>
    <t>Whole Grain Dinner Rolls (USDA)</t>
  </si>
  <si>
    <t>320</t>
  </si>
  <si>
    <t>Rice Treats (S. Van Meter)</t>
  </si>
  <si>
    <t>321</t>
  </si>
  <si>
    <t>Peanut Butter Banana Baked Oatmeal Cups (AmbitiousKitchen.com)</t>
  </si>
  <si>
    <t>Formulation Statements</t>
  </si>
  <si>
    <t>Bagel - Whole Grain Cinnamon Raisin</t>
  </si>
  <si>
    <t>Beef - Raw, Ground 81/19</t>
  </si>
  <si>
    <t>Beef Patty - Fully Cooked</t>
  </si>
  <si>
    <t>Cheese - Mozzarella, Part Skim, String</t>
  </si>
  <si>
    <t>Chicken - Raw, Diced .75" Thigh Meat</t>
  </si>
  <si>
    <t>Hamburger Buns - Bimbo Bakeries</t>
  </si>
  <si>
    <t>Honey Nut Cheerios Bulk Cereal</t>
  </si>
  <si>
    <t>Lender's White Whole Grain Bagel</t>
  </si>
  <si>
    <t>Long Grain Brown Rice</t>
  </si>
  <si>
    <t>Member's Mark Honey Roasted Turkey Breast</t>
  </si>
  <si>
    <t>Mission FS 8" Whole Wheat Flour Tortilla</t>
  </si>
  <si>
    <t>Mission FS 10" Whole Wheat Flour Tortilla</t>
  </si>
  <si>
    <t>Pasta - Elbow Macaroni Shelf Stable</t>
  </si>
  <si>
    <t>Pasta - Spaghetti Shelf Stable</t>
  </si>
  <si>
    <t>Pork - Raw, Ground 80/20</t>
  </si>
  <si>
    <t>Rice Chex Bulk Cereal</t>
  </si>
  <si>
    <t>Snack Pack - BelVita Blueberry</t>
  </si>
  <si>
    <t>Sub Roll Dough - Whole Grain</t>
  </si>
  <si>
    <t>Whole Grain Breaded Hot &amp; Spicy Chicken Breast Fillet</t>
  </si>
  <si>
    <t>Whole Grain Breaded Chicken Breast Patty</t>
  </si>
  <si>
    <t>Beef Round Roast Inside Cap Off - Tyson</t>
  </si>
  <si>
    <t>Beef Round Roast Outside - Tyson</t>
  </si>
  <si>
    <t>Member's Mark Seasoned Angus Roast Beef</t>
  </si>
  <si>
    <t>Cheese, Cheddar, White, Shredded (USDA)</t>
  </si>
  <si>
    <t>Rye Bread (King Soopers)</t>
  </si>
  <si>
    <t>Sara Lee Honey Wheat Bread (Sam's)</t>
  </si>
  <si>
    <t>1% Low Fat Milk (Royal Crest Dairy)</t>
  </si>
  <si>
    <t>Non Fat Milk (Royal Crest Dairy)</t>
  </si>
  <si>
    <t>Fat Free Chocolate Milk (Royal Crest Dairy)</t>
  </si>
  <si>
    <t>Sara Lee Artesano Bread (Sam's)</t>
  </si>
  <si>
    <t>Recipe Name</t>
  </si>
  <si>
    <t>Recipe Category</t>
  </si>
  <si>
    <t>Entrée</t>
  </si>
  <si>
    <t>Serving Sizes:</t>
  </si>
  <si>
    <t>HS &amp; MS = 6 oz rice; 4 oz Kung Pao</t>
  </si>
  <si>
    <t>Recipe #</t>
  </si>
  <si>
    <t>Elementary = 4 oz rice; 3 oz Kung Pao</t>
  </si>
  <si>
    <t>Ingredient</t>
  </si>
  <si>
    <t>175 Servings</t>
  </si>
  <si>
    <t>225 Servings</t>
  </si>
  <si>
    <t>300 Servings</t>
  </si>
  <si>
    <t>Directions/HACCP</t>
  </si>
  <si>
    <t>Cost/4 oz Serving Data</t>
  </si>
  <si>
    <t>Chicken Thigh Meat</t>
  </si>
  <si>
    <t>33 1/4 pounds</t>
  </si>
  <si>
    <t>42 3/4 pounds</t>
  </si>
  <si>
    <t>57 pounds</t>
  </si>
  <si>
    <t>Mince garlic and ginger.  Dice green onions.  Chop</t>
  </si>
  <si>
    <t>(cooked)</t>
  </si>
  <si>
    <t>roasted red peppers.</t>
  </si>
  <si>
    <t>Light Brown Sugar</t>
  </si>
  <si>
    <t>3 1/4 cups</t>
  </si>
  <si>
    <t>4 cups + 3 Tbsp</t>
  </si>
  <si>
    <t>5 3/4 cups</t>
  </si>
  <si>
    <t xml:space="preserve">Make sauce - Sesame oil, soy sauce, brown sugar, </t>
  </si>
  <si>
    <t>white wine vinegar, garlic, ginger, crushed</t>
  </si>
  <si>
    <t>Roasted Red Peppers</t>
  </si>
  <si>
    <t>18 1/3 pounds</t>
  </si>
  <si>
    <t>23 1/2 pounds</t>
  </si>
  <si>
    <t>31 pounds</t>
  </si>
  <si>
    <t>red peppers, and liquid from roasted red peppers.</t>
  </si>
  <si>
    <t>Mix all together.  Bring to a boil and add corn starch</t>
  </si>
  <si>
    <t>Tamari Soy Sauce</t>
  </si>
  <si>
    <t>6 1/3 cups</t>
  </si>
  <si>
    <t>8 cups</t>
  </si>
  <si>
    <t>10 3/4 cups</t>
  </si>
  <si>
    <t>and water slurry.</t>
  </si>
  <si>
    <t xml:space="preserve">Mix chicken and veggies together.  Pour sauce over </t>
  </si>
  <si>
    <t>Toasted Sesame Oil</t>
  </si>
  <si>
    <t>1 1/3 cups</t>
  </si>
  <si>
    <t>1 1/2 cups</t>
  </si>
  <si>
    <t>2 1/4 cups</t>
  </si>
  <si>
    <t>chicken/veggie mixture.  Portion in hotel pans</t>
  </si>
  <si>
    <t>(11 lbs./pan).</t>
  </si>
  <si>
    <t>Whole Peeled Garlic</t>
  </si>
  <si>
    <t>Serving Instructions:</t>
  </si>
  <si>
    <t>1 hotel pan = 44 (4 oz.) servings.</t>
  </si>
  <si>
    <t>Ginger Root</t>
  </si>
  <si>
    <t>1 3/4 cups</t>
  </si>
  <si>
    <t>2 1/2 cups</t>
  </si>
  <si>
    <r>
      <t>Heat at 350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for about 25 minutes or until 165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>.</t>
    </r>
  </si>
  <si>
    <t>Green Onions</t>
  </si>
  <si>
    <t>1 3/4 pounds</t>
  </si>
  <si>
    <t>2 1/4 pounds</t>
  </si>
  <si>
    <t>3 pounds</t>
  </si>
  <si>
    <t>Crushed Red Pepper</t>
  </si>
  <si>
    <t>1/2 cup</t>
  </si>
  <si>
    <t>3/4 cup</t>
  </si>
  <si>
    <t>1 cup</t>
  </si>
  <si>
    <t>Corn Starch</t>
  </si>
  <si>
    <t>3/4 cup + 2 1/2 Tbsp</t>
  </si>
  <si>
    <t>1 1/4 cup</t>
  </si>
  <si>
    <t>White Wine Vinegar</t>
  </si>
  <si>
    <t>Water</t>
  </si>
  <si>
    <t>2 3/4 cups</t>
  </si>
  <si>
    <t>3 1/2 cups</t>
  </si>
  <si>
    <t>4 1/2 cups</t>
  </si>
  <si>
    <t>Meal Pattern Contribution</t>
  </si>
  <si>
    <t>Meat/Meat Alternative</t>
  </si>
  <si>
    <t>Breads/Grains</t>
  </si>
  <si>
    <t>Red/Orange Vegetable</t>
  </si>
  <si>
    <t>Fruit</t>
  </si>
  <si>
    <t>Starchy</t>
  </si>
  <si>
    <t>Other Vegetable</t>
  </si>
  <si>
    <t>Nutrient Analysis</t>
  </si>
  <si>
    <t>Calories: 163</t>
  </si>
  <si>
    <t>Total Fat: 7.7 g</t>
  </si>
  <si>
    <t>Saturated Fat: 1.7 g</t>
  </si>
  <si>
    <t>Cholesterol: 68.4 mg</t>
  </si>
  <si>
    <t>Sodium: 916 mg</t>
  </si>
  <si>
    <t>Total Carbohydrate: 9 g</t>
  </si>
  <si>
    <t>Dietary Fiber: 0.1 g</t>
  </si>
  <si>
    <t>Iron: 0.7 mg</t>
  </si>
  <si>
    <t>Vitamin A: 809 IU</t>
  </si>
  <si>
    <t>Protein: 16.7 g</t>
  </si>
  <si>
    <t>Vitamin C: 15.5 mg</t>
  </si>
  <si>
    <t>Calcium: 6.8 mg</t>
  </si>
  <si>
    <t>Sugars: 5.77 g</t>
  </si>
  <si>
    <t>Vitamin D: 0 mcg</t>
  </si>
  <si>
    <t>Potassium: 0 mg</t>
  </si>
  <si>
    <t>Ash: 0.04 g</t>
  </si>
  <si>
    <t>Water: 4.07 g</t>
  </si>
  <si>
    <t>Trans Fat: 0 g</t>
  </si>
  <si>
    <t>Serving Size:</t>
  </si>
  <si>
    <t>1 Burger</t>
  </si>
  <si>
    <t>25 Servings</t>
  </si>
  <si>
    <t>50 Servings</t>
  </si>
  <si>
    <t>Black Beans, drained, rinsed</t>
  </si>
  <si>
    <t>100 ounces</t>
  </si>
  <si>
    <t>200 ounces</t>
  </si>
  <si>
    <r>
      <t>Preheat oven to 375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and lightly oil a baking sheet.</t>
    </r>
  </si>
  <si>
    <t>In a medium bowl, mash black beans with a fork until thick and pasty.</t>
  </si>
  <si>
    <t>Green Bell Pepper, cut into 2"</t>
  </si>
  <si>
    <t>3 each</t>
  </si>
  <si>
    <t>6 each</t>
  </si>
  <si>
    <t>In a food processor, finely chop bell pepper, onion, and garlic. Then stir in</t>
  </si>
  <si>
    <t>pieces</t>
  </si>
  <si>
    <t>mashed beans.</t>
  </si>
  <si>
    <t>Onion, cut into wedges</t>
  </si>
  <si>
    <t>In a small bowl, stir together eggs, chili powder, cumin, and chili sauce.</t>
  </si>
  <si>
    <t xml:space="preserve">Stir the egg mixture into the mashed beans. Mix in bread crumbs until the </t>
  </si>
  <si>
    <t>Garlic Cloves, peeled</t>
  </si>
  <si>
    <t>19 each</t>
  </si>
  <si>
    <t>38 each</t>
  </si>
  <si>
    <t>mixture is sticky and holds together. Divide mixture into patties.</t>
  </si>
  <si>
    <t>Place patties on baking sheet, and bake about 10 minutes on each side.</t>
  </si>
  <si>
    <t>Egg</t>
  </si>
  <si>
    <t>6-7 each</t>
  </si>
  <si>
    <t>12-13 each</t>
  </si>
  <si>
    <t>Serve on whole wheat bun.</t>
  </si>
  <si>
    <t>Chili Powder</t>
  </si>
  <si>
    <t>1/3 cup + 1 Tbsp</t>
  </si>
  <si>
    <t>3/4 cup + 2 tsp</t>
  </si>
  <si>
    <t>Cumin</t>
  </si>
  <si>
    <t>Thai Chili Sauce or Hot Sauce</t>
  </si>
  <si>
    <t>2 Tbsp + 1/4 tsp</t>
  </si>
  <si>
    <t>1/4 cup + 1 tsp</t>
  </si>
  <si>
    <t>Bread Crumbs</t>
  </si>
  <si>
    <t>3 cups + 2 Tbsp</t>
  </si>
  <si>
    <t>6 1/4 cups</t>
  </si>
  <si>
    <t>Whole Wheat Bun</t>
  </si>
  <si>
    <t>25 each</t>
  </si>
  <si>
    <t>50 each</t>
  </si>
  <si>
    <t>Vegetable</t>
  </si>
  <si>
    <t>Other</t>
  </si>
  <si>
    <t>Calories: 198</t>
  </si>
  <si>
    <t>Total Fat: 3 g</t>
  </si>
  <si>
    <t>Saturated Fat: 1.0 g</t>
  </si>
  <si>
    <t>Cholesterol: 46 mg</t>
  </si>
  <si>
    <t>Sodium: 607 mg</t>
  </si>
  <si>
    <t>Total Carbs: 33.1 g</t>
  </si>
  <si>
    <t>Dietary Fiber: 9.8 g</t>
  </si>
  <si>
    <t>Iron: 4 mg</t>
  </si>
  <si>
    <t>Vitamin A: 731 IU</t>
  </si>
  <si>
    <t>Protein: 11.2 g</t>
  </si>
  <si>
    <t>Vitamin C: 19 mg</t>
  </si>
  <si>
    <t>Calcium: 99 mg</t>
  </si>
  <si>
    <t>(If ingredient amounts change, update info in cost cell)</t>
  </si>
  <si>
    <t>5 Servings</t>
  </si>
  <si>
    <t>19 Servings</t>
  </si>
  <si>
    <t>Recipe Cost/Serving</t>
  </si>
  <si>
    <t>Chia Seeds</t>
  </si>
  <si>
    <t>1 Tbsp</t>
  </si>
  <si>
    <t>4 Tbsp</t>
  </si>
  <si>
    <t>In a small bowl, combine chia seeds and water.</t>
  </si>
  <si>
    <t>(or flax flour?)</t>
  </si>
  <si>
    <t>Set aside for 10-15 minutes, or until the chia seeds have soaked up all the</t>
  </si>
  <si>
    <t>3 Tbsp</t>
  </si>
  <si>
    <t>water. This is your chia "egg."</t>
  </si>
  <si>
    <t>In a food processor, place pepper, onion, garlic, cilantro, chili powder,</t>
  </si>
  <si>
    <t>Green Bell Pepper, roughly</t>
  </si>
  <si>
    <t>1/2 each</t>
  </si>
  <si>
    <t>2 each</t>
  </si>
  <si>
    <t>cumin, paprika, and salt. Pulse until the veggies have been finely chopped.</t>
  </si>
  <si>
    <t>chopped</t>
  </si>
  <si>
    <t>Mash the black beans.</t>
  </si>
  <si>
    <t>Small Red Onion, roughly</t>
  </si>
  <si>
    <t>Add in chia "egg," mashed black beans, and oats "flour" and pulse again</t>
  </si>
  <si>
    <t>until everything has been well combined.</t>
  </si>
  <si>
    <t>Garlic Clove, peeled</t>
  </si>
  <si>
    <t>8 each</t>
  </si>
  <si>
    <t>Chill mixture for an hour in the walk-in.</t>
  </si>
  <si>
    <t>Preheat oven to 375° F and line a baking sheet with parchment paper.</t>
  </si>
  <si>
    <t>Cilantro, fresh, minced</t>
  </si>
  <si>
    <t>1/4 cup</t>
  </si>
  <si>
    <t>Scoop 5 ounces of mixture and form into a patty.</t>
  </si>
  <si>
    <t>Bake in preheated oven for 10 minutes, flip, then bake an additional 10</t>
  </si>
  <si>
    <t>minutes.</t>
  </si>
  <si>
    <t>Serve on a whole wheat bun.</t>
  </si>
  <si>
    <t>2 tsp</t>
  </si>
  <si>
    <t>8 tsp</t>
  </si>
  <si>
    <t>Paprika</t>
  </si>
  <si>
    <t>1 tsp</t>
  </si>
  <si>
    <t>4 tsp</t>
  </si>
  <si>
    <t>Salt</t>
  </si>
  <si>
    <t>Black Beans, drained, rinsed,</t>
  </si>
  <si>
    <t>15 ounces</t>
  </si>
  <si>
    <t>60 ounces</t>
  </si>
  <si>
    <t>dried</t>
  </si>
  <si>
    <t>Old Fashioned Oats, grated</t>
  </si>
  <si>
    <t>2/3 cup</t>
  </si>
  <si>
    <t>2 2/3 cups</t>
  </si>
  <si>
    <t>into flour</t>
  </si>
  <si>
    <t>5 each</t>
  </si>
  <si>
    <t>Calories: 456</t>
  </si>
  <si>
    <t>Total Fat: 4 g</t>
  </si>
  <si>
    <t>Sugars: 3 g</t>
  </si>
  <si>
    <t>Potassium: 1712 mg</t>
  </si>
  <si>
    <t>Sodium: 43 mg</t>
  </si>
  <si>
    <t>Total Carbs: 82 g</t>
  </si>
  <si>
    <t>Dietary Fiber: 21 g</t>
  </si>
  <si>
    <t>Iron: 9.6%</t>
  </si>
  <si>
    <t>Vitamin A: 18.3%</t>
  </si>
  <si>
    <t>Protein: 26 g</t>
  </si>
  <si>
    <t>Vitamin C: 16.3%</t>
  </si>
  <si>
    <t>Calcium: 4.5%</t>
  </si>
  <si>
    <t>Hamburger/Cheeseburger - 2.4 oz (US Foods)</t>
  </si>
  <si>
    <t>Recipe Costing Data</t>
  </si>
  <si>
    <t>with Cheese</t>
  </si>
  <si>
    <t>w/o Cheese</t>
  </si>
  <si>
    <t>Beef Patty-2.4 oz precooked</t>
  </si>
  <si>
    <t>175 each</t>
  </si>
  <si>
    <t>Lay frozen burgers on parchment lined sheet pans (15 per pan).</t>
  </si>
  <si>
    <r>
      <t>Preheat oven to 325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F, low blower. This will allow proper cooking of burgers.</t>
    </r>
  </si>
  <si>
    <t>Kosher Salt</t>
  </si>
  <si>
    <t>1 Tbsp + 1 tsp</t>
  </si>
  <si>
    <r>
      <t>Cook burgers to an internal temperature of 145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F. Sprinkle with salt.</t>
    </r>
  </si>
  <si>
    <t>Top with cheese, leave some without cheese for lactose sensitive students/staff, and place in</t>
  </si>
  <si>
    <t>Cheese (sliced)</t>
  </si>
  <si>
    <t>steamtable pan lined with parchment paper.</t>
  </si>
  <si>
    <t>Hold hot food per HAACP until service.</t>
  </si>
  <si>
    <t>Serving:  Place one burger on bun. Garnish with lettuce, tomato, and onion (optional).</t>
  </si>
  <si>
    <t>Burger Procedure (best for keeping temps):</t>
  </si>
  <si>
    <t>Bake - Cheese - Hot Box - Pan - Send Off</t>
  </si>
  <si>
    <t>Meal Pattern Contribution - Hamburger 026(1)</t>
  </si>
  <si>
    <t>Calories: 360</t>
  </si>
  <si>
    <t>Total Fat: 18 g</t>
  </si>
  <si>
    <t>Saturated Fat: 7 g</t>
  </si>
  <si>
    <t>Cholesterol: 45 mg</t>
  </si>
  <si>
    <t>Sodium: 343.9 mg</t>
  </si>
  <si>
    <t>Total Carbohydrate: 30 g</t>
  </si>
  <si>
    <t>Dietary Fiber: 3 g</t>
  </si>
  <si>
    <t>Iron: 2.5 mg</t>
  </si>
  <si>
    <t>Vitamin A: 0 IU</t>
  </si>
  <si>
    <t>Protein: 19 g</t>
  </si>
  <si>
    <t>Vitamin C: 0 mg</t>
  </si>
  <si>
    <t>Calcium: 150 mg</t>
  </si>
  <si>
    <t>Sugars: 4 g</t>
  </si>
  <si>
    <t>Vitamin D: 1 mcg</t>
  </si>
  <si>
    <t>Ash: 0 g</t>
  </si>
  <si>
    <t>Water: 0 g</t>
  </si>
  <si>
    <t>Added Sugars: 0 g</t>
  </si>
  <si>
    <t>Meal Pattern Contribution - Cheeseburger 026(2)</t>
  </si>
  <si>
    <t>Calories: 440</t>
  </si>
  <si>
    <t>Total Fat: 25 g</t>
  </si>
  <si>
    <t>Saturated Fat: 11 g</t>
  </si>
  <si>
    <t>Cholesterol: 65 mg</t>
  </si>
  <si>
    <t>Sodium: 478.9 mg</t>
  </si>
  <si>
    <t>Iron: 2.52 mg</t>
  </si>
  <si>
    <t>Vitamin A: 300 IU</t>
  </si>
  <si>
    <t>Protein: 24 g</t>
  </si>
  <si>
    <t>Calcium: 300 mg</t>
  </si>
  <si>
    <t>1 Slice</t>
  </si>
  <si>
    <t>48 Svgs (6 pizzas) HS</t>
  </si>
  <si>
    <t>96 Svgs (12 pizzas) HS</t>
  </si>
  <si>
    <t>288 Svgs (36 pizzas) HS</t>
  </si>
  <si>
    <t>Cost/Serving Data (HS)</t>
  </si>
  <si>
    <t>Cost/Serving Data (MS)</t>
  </si>
  <si>
    <t>60 Svgs (6 pizzas) MS</t>
  </si>
  <si>
    <t>120 Svgs (12 pizzas) MS</t>
  </si>
  <si>
    <t>360 Svgs (36 pizzas) MS</t>
  </si>
  <si>
    <t>Pizza Dough</t>
  </si>
  <si>
    <t>6 pounds</t>
  </si>
  <si>
    <t>12 pounds</t>
  </si>
  <si>
    <t>36 pounds</t>
  </si>
  <si>
    <t>For pizza dough, use the Pizza Crust recipe.</t>
  </si>
  <si>
    <t>For pizza sauce, use the Pizza Sauce recipe.</t>
  </si>
  <si>
    <t>Pizza Sauce</t>
  </si>
  <si>
    <t>6 cups</t>
  </si>
  <si>
    <t>12 cups</t>
  </si>
  <si>
    <t>36  cups</t>
  </si>
  <si>
    <t>Spread 1 cup of prepared pizza sauce over each</t>
  </si>
  <si>
    <t>flattened pizza crust.</t>
  </si>
  <si>
    <t>Lite Mozzarella Cheese</t>
  </si>
  <si>
    <t>Sprinkle 1 pound of shredded cheese per pizza evenly</t>
  </si>
  <si>
    <t>over pizza sauce.</t>
  </si>
  <si>
    <t>Bake in top oven at 400* F for 6 minutes, rotate then</t>
  </si>
  <si>
    <t>bake an additional 5 minutes.</t>
  </si>
  <si>
    <t>CCP: Hold for hot service at 135° F or higher.</t>
  </si>
  <si>
    <t>Each pizza pan = 8 slices; sheet pan = 16 slices</t>
  </si>
  <si>
    <t>Meal Pattern Contribution - High School</t>
  </si>
  <si>
    <t>Nutrient Analysis - High School</t>
  </si>
  <si>
    <t>Calories: 334</t>
  </si>
  <si>
    <t>Total Fat: 15.7 g</t>
  </si>
  <si>
    <t>Saturated Fat: 9.2 g</t>
  </si>
  <si>
    <t>Cholesterol: 40.5 mg</t>
  </si>
  <si>
    <t>Sodium: 566 mg</t>
  </si>
  <si>
    <t>Total Carbohydrate: 32 g</t>
  </si>
  <si>
    <t>Dietary Fiber: 1.6 g</t>
  </si>
  <si>
    <t>Iron: 1.9 mg</t>
  </si>
  <si>
    <t>Vitamin A: 590 IU</t>
  </si>
  <si>
    <t>Protein: 16.4 g</t>
  </si>
  <si>
    <t>Vitamin C: 2.3 mg</t>
  </si>
  <si>
    <t>Calcium: 305 mg</t>
  </si>
  <si>
    <t>Sugars: 1.78 g</t>
  </si>
  <si>
    <t>Potassium: 120 mg</t>
  </si>
  <si>
    <t>Ash: 0.016 g</t>
  </si>
  <si>
    <t>Water: 3.689 g</t>
  </si>
  <si>
    <t>Meal Pattern Contribution - Middle School</t>
  </si>
  <si>
    <t>Nutrient Analysis - Middle School</t>
  </si>
  <si>
    <t>Calories: 267.6</t>
  </si>
  <si>
    <t>Total Fat: 12.5 g</t>
  </si>
  <si>
    <t>Saturated Fat: 7.4 g</t>
  </si>
  <si>
    <t>Cholesterol: 32.4 mg</t>
  </si>
  <si>
    <t>Sodium: 453 mg</t>
  </si>
  <si>
    <t>Total Carbohydrate: 25.5 g</t>
  </si>
  <si>
    <t>Dietary Fiber: 1.3 g</t>
  </si>
  <si>
    <t>Iron: 1.5 mg</t>
  </si>
  <si>
    <t>Vitamin A: 472 IU</t>
  </si>
  <si>
    <t>Protein: 13 g</t>
  </si>
  <si>
    <t>Vitamin C: 1.9 mg</t>
  </si>
  <si>
    <t>Calcium: 244 mg</t>
  </si>
  <si>
    <t>Sugars: 1.4 g</t>
  </si>
  <si>
    <t>Potassium: 96 mg</t>
  </si>
  <si>
    <t>Ash: 0.01 g</t>
  </si>
  <si>
    <t>Water: 3 g</t>
  </si>
  <si>
    <t>Cost/Serving Data HS</t>
  </si>
  <si>
    <t>Cost/Serving Data MS</t>
  </si>
  <si>
    <t>Enriched White Flour</t>
  </si>
  <si>
    <t>3 1/2 pounds</t>
  </si>
  <si>
    <t>7 pounds</t>
  </si>
  <si>
    <t>For best results, have all ingredients and utensils at room temperature.</t>
  </si>
  <si>
    <t>Place yeast, sugar, and warm water directly in mixing bowl. Wait 5 minutes.</t>
  </si>
  <si>
    <t>1 1/2 tsp</t>
  </si>
  <si>
    <t>Add oil, flour, and salt.</t>
  </si>
  <si>
    <t>Mix with hook attachment for 6 minutes on speed 1.</t>
  </si>
  <si>
    <t>Sugar</t>
  </si>
  <si>
    <t>2 Tbsp + 1 tsp</t>
  </si>
  <si>
    <t>1/4 cup + 2 tsp</t>
  </si>
  <si>
    <t>Divide dough into 2 pound balls. Let rest on oiled table for at least 20 min.</t>
  </si>
  <si>
    <t>Flour table well, roll into rectangle. Place into sheet pan and rest until</t>
  </si>
  <si>
    <t>Active Dry Yeast</t>
  </si>
  <si>
    <t>2 Tbsp + 1 1/2 tsp</t>
  </si>
  <si>
    <t>1/4 cup + 1 Tbsp</t>
  </si>
  <si>
    <t>ready to be topped.</t>
  </si>
  <si>
    <t>See individual pizza recipes for baking instructions.</t>
  </si>
  <si>
    <r>
      <t>Warm Water (110</t>
    </r>
    <r>
      <rPr>
        <sz val="11"/>
        <color theme="1"/>
        <rFont val="Calibri"/>
        <family val="2"/>
      </rPr>
      <t>°</t>
    </r>
    <r>
      <rPr>
        <sz val="11"/>
        <color theme="1"/>
        <rFont val="Arial"/>
        <family val="2"/>
      </rPr>
      <t xml:space="preserve"> F)</t>
    </r>
  </si>
  <si>
    <t>1 quart + 1/4 cup</t>
  </si>
  <si>
    <t>2 quarts + 1/2 cup</t>
  </si>
  <si>
    <t>Parbake Instructions:</t>
  </si>
  <si>
    <t>Initial Bake -</t>
  </si>
  <si>
    <t>Naked at 400* F for 4 minutes</t>
  </si>
  <si>
    <t>Dressed at 400* F for 8 minutes</t>
  </si>
  <si>
    <t>Vegetable Oil</t>
  </si>
  <si>
    <t>1/3 cup</t>
  </si>
  <si>
    <t>Secondary Bake -</t>
  </si>
  <si>
    <t>Naked Parbake (Dressed Now)</t>
  </si>
  <si>
    <t>bake at 400* F 6 minutes, rotate</t>
  </si>
  <si>
    <t>Cornmeal</t>
  </si>
  <si>
    <t>As Needed</t>
  </si>
  <si>
    <t>bake additional 6 minutes</t>
  </si>
  <si>
    <t>Dressed Parbake</t>
  </si>
  <si>
    <t>bake at 400* F 5 minutes, rotate</t>
  </si>
  <si>
    <t>bake additional 5 minutes</t>
  </si>
  <si>
    <r>
      <rPr>
        <b/>
        <sz val="10"/>
        <color theme="1"/>
        <rFont val="Arial"/>
        <family val="2"/>
      </rPr>
      <t>Special Tip</t>
    </r>
    <r>
      <rPr>
        <sz val="10"/>
        <color theme="1"/>
        <rFont val="Arial"/>
        <family val="2"/>
      </rPr>
      <t>:  1 quart = 4 cups</t>
    </r>
  </si>
  <si>
    <t>Calories: 139.5</t>
  </si>
  <si>
    <t>Total Fat: 1.4 g</t>
  </si>
  <si>
    <t>Saturated Fat: 0.1 g</t>
  </si>
  <si>
    <t>Cholesterol: 0 mg</t>
  </si>
  <si>
    <t>Sodium: 75 mg</t>
  </si>
  <si>
    <t>Dietary Fiber: 1.2 g</t>
  </si>
  <si>
    <t>Iron: 1.6 mg</t>
  </si>
  <si>
    <t>Protein: 3.5 g</t>
  </si>
  <si>
    <t>Calcium: 0 mg</t>
  </si>
  <si>
    <t>Sugars: 0.6 g</t>
  </si>
  <si>
    <t>Potassium: 52 mg</t>
  </si>
  <si>
    <t>Ash: 0.0015 g</t>
  </si>
  <si>
    <t>Water: 0.0031 g</t>
  </si>
  <si>
    <t>over pizza sauce. Lay pepperoni over cheese.</t>
  </si>
  <si>
    <t>Turkey Pepperoni</t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</si>
  <si>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72 slices</t>
    </r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</si>
  <si>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144 slices</t>
    </r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</si>
  <si>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432 slices</t>
    </r>
  </si>
  <si>
    <t>Bake at 400* F for 6 minutes, rotate, then bake an</t>
  </si>
  <si>
    <t>additional 6 minutes.</t>
  </si>
  <si>
    <t>Calories: 338</t>
  </si>
  <si>
    <t>Total Fat: 15.9 g</t>
  </si>
  <si>
    <t>Saturated Fat: 9.3 g</t>
  </si>
  <si>
    <t>Cholesterol: 42 mg</t>
  </si>
  <si>
    <t>Sodium: 584 mg</t>
  </si>
  <si>
    <t>Iron: 2 mg</t>
  </si>
  <si>
    <t>Vitamin A: 609 IU</t>
  </si>
  <si>
    <t>Calcium: 306 mg</t>
  </si>
  <si>
    <t>Sugars: 1.8 g</t>
  </si>
  <si>
    <t>Potassium: 128 mg</t>
  </si>
  <si>
    <t>Water: 3.687 g</t>
  </si>
  <si>
    <t>Calories: 270</t>
  </si>
  <si>
    <t>Total Fat: 12.7 g</t>
  </si>
  <si>
    <t>Cholesterol: 33.6 mg</t>
  </si>
  <si>
    <t>Sodium: 467.5 mg</t>
  </si>
  <si>
    <t>Total Carbohydrate: 25.6 g</t>
  </si>
  <si>
    <t>Vitamin A: 487.6 IU</t>
  </si>
  <si>
    <t>Protein: 13.4 g</t>
  </si>
  <si>
    <t>Calcium: 244.7 mg</t>
  </si>
  <si>
    <t>Potassium: 102 mg</t>
  </si>
  <si>
    <t>48 Svgs (6 pizzas)</t>
  </si>
  <si>
    <t>96 Svgs (12 pizzas)</t>
  </si>
  <si>
    <t>288 Svgs (36 pizzas)</t>
  </si>
  <si>
    <t>Cost/Serving Data</t>
  </si>
  <si>
    <t>For pizza topping: Brown ground pork. Drain. Add</t>
  </si>
  <si>
    <t>fennel seed and crushed red pepper (optional).</t>
  </si>
  <si>
    <t>Cook for 5 minutes. Set aside for pizza building.</t>
  </si>
  <si>
    <t>Raw Ground Pork (20% fat</t>
  </si>
  <si>
    <t>4 pounds + 4 ounces</t>
  </si>
  <si>
    <t>8 pounds + 8 ounces</t>
  </si>
  <si>
    <t>25 pounds + 8 oz</t>
  </si>
  <si>
    <t>or less</t>
  </si>
  <si>
    <t>Fennel Seed</t>
  </si>
  <si>
    <t>6 Tbsp</t>
  </si>
  <si>
    <t>Sprinkle ≈ 2 cups of pork per pizza over cheese.</t>
  </si>
  <si>
    <t>2 Tbsp</t>
  </si>
  <si>
    <t>(optional)</t>
  </si>
  <si>
    <t>Calories: 437</t>
  </si>
  <si>
    <t>Total Fat: 23.8 g</t>
  </si>
  <si>
    <t>Saturated Fat: 12 g</t>
  </si>
  <si>
    <t>Cholesterol: 67 mg</t>
  </si>
  <si>
    <t>Iron: 2.2 mg</t>
  </si>
  <si>
    <t>Vitamin A: 620 IU</t>
  </si>
  <si>
    <t>Protein: 23 g</t>
  </si>
  <si>
    <t>Calcium: 312 mg</t>
  </si>
  <si>
    <t>Lay pepperoni, peppers, tomato, and onion over</t>
  </si>
  <si>
    <t>cheese. Use your imagination when it comes to</t>
  </si>
  <si>
    <t>Peppers - Red and/or Green</t>
  </si>
  <si>
    <t>4 each</t>
  </si>
  <si>
    <t>12 each</t>
  </si>
  <si>
    <t>toppings. Use what is available.</t>
  </si>
  <si>
    <t>sliced</t>
  </si>
  <si>
    <t>Tomatoes, sliced</t>
  </si>
  <si>
    <t>Onions - Red and/or White</t>
  </si>
  <si>
    <t>Calories: 341</t>
  </si>
  <si>
    <t>Total Fat: 16 g</t>
  </si>
  <si>
    <t>Sodium: 584.7 mg</t>
  </si>
  <si>
    <t>Total Carbohydrate: 32.7 g</t>
  </si>
  <si>
    <t>Dietary Fiber: 1.8 g</t>
  </si>
  <si>
    <t>Vitamin A: 642 IU</t>
  </si>
  <si>
    <t>Protein: 16.9 g</t>
  </si>
  <si>
    <t>Vitamin C: 6.6 mg</t>
  </si>
  <si>
    <t>Calcium: 308 mg</t>
  </si>
  <si>
    <t>Sugars: 2.2 g</t>
  </si>
  <si>
    <t>Potassium: 140 mg</t>
  </si>
  <si>
    <t>Ash: 0.0439 g</t>
  </si>
  <si>
    <t>Water: 10.01 g</t>
  </si>
  <si>
    <t>Fresh Tomatoes, sliced</t>
  </si>
  <si>
    <t>3 1/4 cups + 2 Tbsp</t>
  </si>
  <si>
    <t>1 qt + 2 3/4 cups</t>
  </si>
  <si>
    <t>3 qts + 8 1/4 cups</t>
  </si>
  <si>
    <t>Place raw vegetables over shredded cheese.</t>
  </si>
  <si>
    <t>Bake at 400* F for 8 minutes, rotate, then bake an</t>
  </si>
  <si>
    <t>Fresh Peppers, sliced</t>
  </si>
  <si>
    <t>1 qt + 2 1/4 cups</t>
  </si>
  <si>
    <t>3 qts + 6 3/4 cups</t>
  </si>
  <si>
    <t>Fresh Mushrooms, sliced</t>
  </si>
  <si>
    <t>1 1/4 cups</t>
  </si>
  <si>
    <t>7 1/2 cups</t>
  </si>
  <si>
    <t>Fresh Onions, sliced</t>
  </si>
  <si>
    <t>2 cups</t>
  </si>
  <si>
    <t>1 quart</t>
  </si>
  <si>
    <t>3 quarts</t>
  </si>
  <si>
    <t>Calories: 343</t>
  </si>
  <si>
    <t>Sodium: 567 mg</t>
  </si>
  <si>
    <t>Total Carbohydrate: 33.8 g</t>
  </si>
  <si>
    <t>Dietary Fiber: 2.1 g</t>
  </si>
  <si>
    <t>Vitamin A: 722 IU</t>
  </si>
  <si>
    <t>Protein: 16.76 g</t>
  </si>
  <si>
    <t>Vitamin C: 11.8 mg</t>
  </si>
  <si>
    <t>Calcium: 310 mg</t>
  </si>
  <si>
    <t>Sugars: 2.8 g</t>
  </si>
  <si>
    <t>Potassium: 164.5 mg</t>
  </si>
  <si>
    <t>Ash: 0.1 g</t>
  </si>
  <si>
    <t>Water: 24 g</t>
  </si>
  <si>
    <t>1 Sandwich</t>
  </si>
  <si>
    <t>100 Servings</t>
  </si>
  <si>
    <t>Deli Meat - Turkey or Ham</t>
  </si>
  <si>
    <t>150 slices</t>
  </si>
  <si>
    <t>300 slices</t>
  </si>
  <si>
    <t>Bake hoagie rolls according to instructions. Slice down center after cooled.</t>
  </si>
  <si>
    <t>Or use already prepped product from Bimbo Bakeries.</t>
  </si>
  <si>
    <t>Sliced Cheese - Cheddar or</t>
  </si>
  <si>
    <t>50 slices</t>
  </si>
  <si>
    <t>100 slices</t>
  </si>
  <si>
    <t>For each sandwich, place 3 slices of desired meat (turkey or ham, or a</t>
  </si>
  <si>
    <t>avg between swiss (0.12) and cheddar (0.20)</t>
  </si>
  <si>
    <t>Swiss</t>
  </si>
  <si>
    <t>200 slices</t>
  </si>
  <si>
    <t>combination of each) and cheese (1 slice cheddar or 2 slices swiss or</t>
  </si>
  <si>
    <t>Hoagie Roll - fresh baked</t>
  </si>
  <si>
    <t>100 each</t>
  </si>
  <si>
    <t>combination of each). Place in deep hotel pan, covered well. Place in cold</t>
  </si>
  <si>
    <t>food serving table.</t>
  </si>
  <si>
    <t>Immediately saran wrap leftover sandwiches to preserve freshness.</t>
  </si>
  <si>
    <t>Total Fat: 10.5 g</t>
  </si>
  <si>
    <t>Saturated Fat: 4.5 g</t>
  </si>
  <si>
    <t>Sodium: 731 mg</t>
  </si>
  <si>
    <t>Total Carbohydrate: 40 g</t>
  </si>
  <si>
    <t>Vitamin C: 3.6 mg</t>
  </si>
  <si>
    <t>Sugars: 6 g</t>
  </si>
  <si>
    <t>Vitamin D: 0.1 mcg</t>
  </si>
  <si>
    <t>Potassium: 284 mg</t>
  </si>
  <si>
    <t>MS &amp; HS = 8 ounces</t>
  </si>
  <si>
    <t>Elementary = 6 ounces</t>
  </si>
  <si>
    <t>122-8 oz Servings</t>
  </si>
  <si>
    <t>220-8 oz Servings</t>
  </si>
  <si>
    <t>292-8 oz Servings</t>
  </si>
  <si>
    <t>162-6 oz Servings</t>
  </si>
  <si>
    <t>293-6 oz Servings</t>
  </si>
  <si>
    <t>389-6 oz Servings</t>
  </si>
  <si>
    <t>Cost/8 oz Svg Data</t>
  </si>
  <si>
    <t>Cost/6 oz Svg Data</t>
  </si>
  <si>
    <t>Elbow Macaroni</t>
  </si>
  <si>
    <t>10 pounds</t>
  </si>
  <si>
    <t>18 pounds</t>
  </si>
  <si>
    <t>24 pounds</t>
  </si>
  <si>
    <t>Heat water to rolling boil.</t>
  </si>
  <si>
    <t xml:space="preserve">Slowly add macaroni. Stir constantly, until water boils </t>
  </si>
  <si>
    <t>Butter</t>
  </si>
  <si>
    <t>1 pound + 14 ounces</t>
  </si>
  <si>
    <t>3 pounds + 5 3/4 oz</t>
  </si>
  <si>
    <t>4 1/2 pounds</t>
  </si>
  <si>
    <t>again. Cook about 8 minutes or until tender;</t>
  </si>
  <si>
    <t>stir occasionally. DO NOT OVERCOOK. Drain well.</t>
  </si>
  <si>
    <t>1/2 pound</t>
  </si>
  <si>
    <t>14 ounces</t>
  </si>
  <si>
    <t>1 1/4 pound</t>
  </si>
  <si>
    <t>Cheese Sauce: Heat butter until melted, then add</t>
  </si>
  <si>
    <t>flour. Whisk until a blonde roux is reached. Whisk in</t>
  </si>
  <si>
    <t>Milk</t>
  </si>
  <si>
    <t>1 3/4 gallon</t>
  </si>
  <si>
    <t>3 gallons + 2 1/2 cups</t>
  </si>
  <si>
    <t>4 gallons + 3 cups</t>
  </si>
  <si>
    <t>milk until well combined. Bring to a simmer. Once a</t>
  </si>
  <si>
    <t>thick bechamel sauce is achieved, whisk in cheese</t>
  </si>
  <si>
    <t>Mozzarella Cheese</t>
  </si>
  <si>
    <t>12 1/2 pounds</t>
  </si>
  <si>
    <t>16 3/4 pounds</t>
  </si>
  <si>
    <t>and seasoning.</t>
  </si>
  <si>
    <t>(shredded)</t>
  </si>
  <si>
    <t>Add cheese sauce to macaroni and stir well.</t>
  </si>
  <si>
    <t>Jack Cheese (shredded)</t>
  </si>
  <si>
    <t>8 1/2 pounds</t>
  </si>
  <si>
    <t>15 1/3 pounds</t>
  </si>
  <si>
    <t>20 1/3 pounds</t>
  </si>
  <si>
    <t>CCP: Heat to 140° F or higher.</t>
  </si>
  <si>
    <t xml:space="preserve">Pour macaroni and cheese mixture into steamtable </t>
  </si>
  <si>
    <t>pans (12" x 20" x 2 1/2") which have been lightly</t>
  </si>
  <si>
    <t xml:space="preserve">coated with pan release spray (≈ 25 svgs per pan). </t>
  </si>
  <si>
    <t>Pepper</t>
  </si>
  <si>
    <t>1 1/2 Tbsp</t>
  </si>
  <si>
    <t>2 Tbsp + 2 tsp</t>
  </si>
  <si>
    <t>3 1/2 Tbsp</t>
  </si>
  <si>
    <t>Hold for 30 minutes on a 180-190° F steamtable</t>
  </si>
  <si>
    <t>to allow sufficient time for mixture to set up properly.</t>
  </si>
  <si>
    <t>7 1/2 gallons</t>
  </si>
  <si>
    <t>13 1/2 gallons</t>
  </si>
  <si>
    <t>18 gallons</t>
  </si>
  <si>
    <t>Mustard Powder</t>
  </si>
  <si>
    <t>Granulated Garlic</t>
  </si>
  <si>
    <t>1 Tbsp + 2 tsp</t>
  </si>
  <si>
    <t>2 1/2 Tbsp</t>
  </si>
  <si>
    <t>Meal Pattern Contribution - 8 oz Serving</t>
  </si>
  <si>
    <t>Nutrient Analysis - 8 oz Serving</t>
  </si>
  <si>
    <t>Calories: 505</t>
  </si>
  <si>
    <t>Total Fat: 27 g</t>
  </si>
  <si>
    <t>Saturated Fat: 16 g</t>
  </si>
  <si>
    <t>Cholesterol: 80 mg</t>
  </si>
  <si>
    <t>Sodium: 556.6 mg</t>
  </si>
  <si>
    <t>Total Carbohydrate: 41.9 g</t>
  </si>
  <si>
    <t>Dietary Fiber: 1.4 g</t>
  </si>
  <si>
    <t>Iron: 1.27 mg</t>
  </si>
  <si>
    <t>Vitamin A: 874 IU</t>
  </si>
  <si>
    <t>Protein: 25.6 g</t>
  </si>
  <si>
    <t>Calcium: 537.8 mg</t>
  </si>
  <si>
    <t>Sugars: 12 g</t>
  </si>
  <si>
    <t>Vitamin D: 0.2 mcg</t>
  </si>
  <si>
    <t>Potassium: 370.6 mg</t>
  </si>
  <si>
    <t>Meal Pattern Contribution - 6 oz Serving</t>
  </si>
  <si>
    <t>Nutrient Analysis - 6 oz Serving</t>
  </si>
  <si>
    <t>Calories: 380.6</t>
  </si>
  <si>
    <t>Total Fat: 20.6 g</t>
  </si>
  <si>
    <t>Cholesterol: 60 mg</t>
  </si>
  <si>
    <t>Sodium: 419 mg</t>
  </si>
  <si>
    <t>Total Carbohydrate: 31.5 g</t>
  </si>
  <si>
    <t>Dietary Fiber: 1 g</t>
  </si>
  <si>
    <t>Iron: 1 mg</t>
  </si>
  <si>
    <t>Vitamin A: 658.5 IU</t>
  </si>
  <si>
    <t>Calcium: 405 mg</t>
  </si>
  <si>
    <t>Sugars: 9.3 g</t>
  </si>
  <si>
    <t>Potassium: 279 mg</t>
  </si>
  <si>
    <t>Chicken Patty (precooked)</t>
  </si>
  <si>
    <t>Preheat oven to 375° F.</t>
  </si>
  <si>
    <t>Place 25 frozen chicken patties on a full sheet pan.</t>
  </si>
  <si>
    <t>Cook chicken patties for 9 to 11 minutes until an internal temperature of 145° F is</t>
  </si>
  <si>
    <t>reached for a minimum of 15 seconds.</t>
  </si>
  <si>
    <t>Place chicken patty on bottom half of bun and top with other half of bun.</t>
  </si>
  <si>
    <t>Place directly on hot serving line.</t>
  </si>
  <si>
    <t>CCP: Heat to 145° F or higher for at least 15 seconds.</t>
  </si>
  <si>
    <t>Meal Pattern Contribution - Regular 018(1)</t>
  </si>
  <si>
    <t>Calories: 370</t>
  </si>
  <si>
    <t>Total Fat: 10 g</t>
  </si>
  <si>
    <t>Saturated Fat: 1.5 g</t>
  </si>
  <si>
    <t>Sodium: 810 mg</t>
  </si>
  <si>
    <t>Total Carbohydrate: 47 g</t>
  </si>
  <si>
    <t>Dietary Fiber: 5 g</t>
  </si>
  <si>
    <t>Vitamin A: 200 IU</t>
  </si>
  <si>
    <t>Vitamin C: 1.2 mg</t>
  </si>
  <si>
    <t>Calcium: 170 mg</t>
  </si>
  <si>
    <t>Sugars: 5 g</t>
  </si>
  <si>
    <t>Meal Pattern Contribution - Spicy 018(2)</t>
  </si>
  <si>
    <t>Calories: 383</t>
  </si>
  <si>
    <t>Saturated Fat: 1.6 g</t>
  </si>
  <si>
    <t>Cholesterol: 47.8 mg</t>
  </si>
  <si>
    <t>Sodium: 794.7 mg</t>
  </si>
  <si>
    <t>Total Carbohydrate: 48 g</t>
  </si>
  <si>
    <t>Dietary Fiber: 6.2 g</t>
  </si>
  <si>
    <t>Iron: 2.6 mg</t>
  </si>
  <si>
    <t>Vitamin A: 212 IU</t>
  </si>
  <si>
    <t>Protein: 25 g</t>
  </si>
  <si>
    <t>Vitamin C: 1.3 mg</t>
  </si>
  <si>
    <t>Calcium: 171 mg</t>
  </si>
  <si>
    <t>1 Enchilada</t>
  </si>
  <si>
    <t>125 Servings</t>
  </si>
  <si>
    <t>250 Servings</t>
  </si>
  <si>
    <t>Chicken Thigh Meat (cooked)</t>
  </si>
  <si>
    <t>17 pounds</t>
  </si>
  <si>
    <t>30 1/2 pounds</t>
  </si>
  <si>
    <t>34 pounds</t>
  </si>
  <si>
    <t xml:space="preserve">Mix cooked chicken, cheese, beans, and cumin in </t>
  </si>
  <si>
    <t>Hobart with a paddle.</t>
  </si>
  <si>
    <t>Cheddar Cheese (shredded)</t>
  </si>
  <si>
    <t>20 pounds</t>
  </si>
  <si>
    <t>Scoop 2 ounces of filling into each tortilla.</t>
  </si>
  <si>
    <t xml:space="preserve">Spread 16 ounces of enchilada sauce on bottom of </t>
  </si>
  <si>
    <t>Black Beans</t>
  </si>
  <si>
    <t>5 pounds</t>
  </si>
  <si>
    <t>9 pounds</t>
  </si>
  <si>
    <t>the hotel pan.</t>
  </si>
  <si>
    <t>Roll tortilla around the filling.</t>
  </si>
  <si>
    <t>7 Tbsp + 1 1/2 tsp</t>
  </si>
  <si>
    <t>13 Tbsp + 1 1/2 tsp</t>
  </si>
  <si>
    <t>8 Tbsp</t>
  </si>
  <si>
    <t>Place 24 enchiladas in a pan.</t>
  </si>
  <si>
    <t>Cover with 24 ounces of enchilada sauce.</t>
  </si>
  <si>
    <t>Enchilada Sauce (Classic)</t>
  </si>
  <si>
    <t>26 pounds</t>
  </si>
  <si>
    <t>46 pounds + 13 oz</t>
  </si>
  <si>
    <t>52 pounds</t>
  </si>
  <si>
    <t>Cover with foil.</t>
  </si>
  <si>
    <t>Recipe</t>
  </si>
  <si>
    <t>Cook for 20 minutes at 350° F.</t>
  </si>
  <si>
    <t>Tortilla 8" Whole Grain</t>
  </si>
  <si>
    <t>125 each</t>
  </si>
  <si>
    <t>225 each</t>
  </si>
  <si>
    <t>250 each</t>
  </si>
  <si>
    <t xml:space="preserve">Uncover and top with cheese and cook for another </t>
  </si>
  <si>
    <t xml:space="preserve">10-15 minutes or until internal temperature is </t>
  </si>
  <si>
    <t>165° F.</t>
  </si>
  <si>
    <t>Serve 1 enchilada.</t>
  </si>
  <si>
    <t>Garnish with cheese, lettuce, and tomato (optional).</t>
  </si>
  <si>
    <t>Calories: 494.99</t>
  </si>
  <si>
    <t>Total Fat: 21.92 g</t>
  </si>
  <si>
    <t>Saturated Fat: 8.958 g</t>
  </si>
  <si>
    <t>Cholesterol: 132.17 mg</t>
  </si>
  <si>
    <t>Sodium: 1,155 mg</t>
  </si>
  <si>
    <t>Carbohydrate: 47.7871 mg</t>
  </si>
  <si>
    <t>Dietary Fiber: 3.39 g</t>
  </si>
  <si>
    <t>Protein: 29.8244 g</t>
  </si>
  <si>
    <t>Vitamin A: 846.7 IU</t>
  </si>
  <si>
    <t>Calcium: 370.5 mg</t>
  </si>
  <si>
    <t>Iron: 3.9625 mg</t>
  </si>
  <si>
    <t>Vitamin C: 7.8 mg</t>
  </si>
  <si>
    <t>1 Sandwich with Heaping 3 ounce Portion of Meat (HS)</t>
  </si>
  <si>
    <t>1 Sandwich with Heaping 2 ounce Portion of Meat (MS) &amp; Axis</t>
  </si>
  <si>
    <t>175 Servings (HS)</t>
  </si>
  <si>
    <t>225 Servings (HS)</t>
  </si>
  <si>
    <t>300 Servings (HS)</t>
  </si>
  <si>
    <t>200 Servings (MS)</t>
  </si>
  <si>
    <t>256 Servings (MS)</t>
  </si>
  <si>
    <t>343 Servings (MS)</t>
  </si>
  <si>
    <t>Raw Ground Beef (20% or</t>
  </si>
  <si>
    <t>29 3/4 pounds</t>
  </si>
  <si>
    <t>38 1/4 pounds</t>
  </si>
  <si>
    <t>51 pounds</t>
  </si>
  <si>
    <t>Brown ground beef.  Drain.  Continue immediately.</t>
  </si>
  <si>
    <t>less fat)</t>
  </si>
  <si>
    <t xml:space="preserve">Add onions and granulated garlic. Cook for 5 minutes. </t>
  </si>
  <si>
    <r>
      <t>Onions (</t>
    </r>
    <r>
      <rPr>
        <b/>
        <sz val="11"/>
        <color theme="1"/>
        <rFont val="Arial"/>
        <family val="2"/>
      </rPr>
      <t>Fresh</t>
    </r>
    <r>
      <rPr>
        <sz val="11"/>
        <color theme="1"/>
        <rFont val="Arial"/>
        <family val="2"/>
      </rPr>
      <t xml:space="preserve">) </t>
    </r>
    <r>
      <rPr>
        <sz val="11"/>
        <color rgb="FFFF0000"/>
        <rFont val="Arial"/>
        <family val="2"/>
      </rPr>
      <t>or</t>
    </r>
  </si>
  <si>
    <t>5 cups</t>
  </si>
  <si>
    <t>6 1/2 cups</t>
  </si>
  <si>
    <t>8 1/2 cups</t>
  </si>
  <si>
    <t xml:space="preserve">Add tomato paste, ketchup, water, vinegar, dry </t>
  </si>
  <si>
    <r>
      <rPr>
        <b/>
        <sz val="11"/>
        <color theme="1"/>
        <rFont val="Arial"/>
        <family val="2"/>
      </rPr>
      <t>Dehydrated</t>
    </r>
    <r>
      <rPr>
        <sz val="11"/>
        <color theme="1"/>
        <rFont val="Arial"/>
        <family val="2"/>
      </rPr>
      <t xml:space="preserve"> Onions</t>
    </r>
  </si>
  <si>
    <t>4 1/4 cups</t>
  </si>
  <si>
    <t>mustard, pepper, brown sugar, salt, and red pepper</t>
  </si>
  <si>
    <t>5 Tbsp</t>
  </si>
  <si>
    <t>6 1/2 Tbsp</t>
  </si>
  <si>
    <t>flakes. Mix well and simmer for 25-30 minutes.</t>
  </si>
  <si>
    <t>CCP: Heat to 155°F or higher for at least 15 seconds.</t>
  </si>
  <si>
    <t>Tomato Paste (canned)</t>
  </si>
  <si>
    <t>9 1/2 cups</t>
  </si>
  <si>
    <t>15 3/4 cups</t>
  </si>
  <si>
    <t xml:space="preserve">Pour 10 pounds 12 ounces ground beef mixture into </t>
  </si>
  <si>
    <t>steamtable pan (50 servings/pan).</t>
  </si>
  <si>
    <t>Ketchup</t>
  </si>
  <si>
    <t>1 1/2 quarts</t>
  </si>
  <si>
    <t>2 quarts</t>
  </si>
  <si>
    <t>2 3/4 quarts</t>
  </si>
  <si>
    <t>Portion a heaping 2 ounces of beef mixture onto each</t>
  </si>
  <si>
    <t>sandwich.</t>
  </si>
  <si>
    <t>Red Vinegar</t>
  </si>
  <si>
    <t>4 3/4 cups</t>
  </si>
  <si>
    <t>* MS &amp; Axis (elementary) serving = 2 ounces</t>
  </si>
  <si>
    <t>Dry Mustard</t>
  </si>
  <si>
    <t>* HS serving = 3 ounces</t>
  </si>
  <si>
    <t>Black Pepper</t>
  </si>
  <si>
    <t>3 1/4 Tbsp</t>
  </si>
  <si>
    <t>Brown Sugar (packed)</t>
  </si>
  <si>
    <t>3 3/4 Tbsp</t>
  </si>
  <si>
    <t>6 1/4 Tbsp</t>
  </si>
  <si>
    <t>Red Pepper Flakes</t>
  </si>
  <si>
    <t>3 1/3 Tbsp</t>
  </si>
  <si>
    <t>8 1/2 Tbsp</t>
  </si>
  <si>
    <t>Whole Wheat Hamburger Bun</t>
  </si>
  <si>
    <t>300 each</t>
  </si>
  <si>
    <t>Calories: 394</t>
  </si>
  <si>
    <t>Total Fat: 16.5 g</t>
  </si>
  <si>
    <t>Saturated Fat: 5.5 g</t>
  </si>
  <si>
    <t>Cholesterol: 55 mg</t>
  </si>
  <si>
    <t>Sodium: 502 mg</t>
  </si>
  <si>
    <t>Dietary Fiber: 3.5 g</t>
  </si>
  <si>
    <t>Iron: 3 mg</t>
  </si>
  <si>
    <t>Vitamin A: 314.5 IU</t>
  </si>
  <si>
    <t>Protein: 20 g</t>
  </si>
  <si>
    <t>Calcium: 151.5 mg</t>
  </si>
  <si>
    <t>Sugars: 11.5 g</t>
  </si>
  <si>
    <t>Vitamin D: 1.17 mcg</t>
  </si>
  <si>
    <t>Potassium: 8851 mg</t>
  </si>
  <si>
    <t>Ash: 0.6 g</t>
  </si>
  <si>
    <t>Water: 48.4 g</t>
  </si>
  <si>
    <t>Calories: 345</t>
  </si>
  <si>
    <t>Total Fat: 14.4 g</t>
  </si>
  <si>
    <t>Saturated Fat: 4.8 g</t>
  </si>
  <si>
    <t>Cholesterol: 48 mg</t>
  </si>
  <si>
    <t>Sodium: 439.6 mg</t>
  </si>
  <si>
    <t>Total Carbohydrate: 35 g</t>
  </si>
  <si>
    <t>Vitamin A: 275 IU</t>
  </si>
  <si>
    <t>Vitamin C: 3 mg</t>
  </si>
  <si>
    <t>Calcium: 132.5 mg</t>
  </si>
  <si>
    <t>Sugars: 10 g</t>
  </si>
  <si>
    <t>Potassium: 7745 mg</t>
  </si>
  <si>
    <t>Ash: 0.5 g</t>
  </si>
  <si>
    <t>Water: 42.4 g</t>
  </si>
  <si>
    <r>
      <t>3 oz of chicken (</t>
    </r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4 strips) over 6 oz of pasta w/1 oz sauce</t>
    </r>
  </si>
  <si>
    <t>35 pounds 10 oz</t>
  </si>
  <si>
    <t>45 pounds 13 oz</t>
  </si>
  <si>
    <t>50 pounds 14 oz</t>
  </si>
  <si>
    <t>Brining method - 1 gallon water to 1/2 cup salt, 1</t>
  </si>
  <si>
    <t>gallon brine to every 6 pounds meat.</t>
  </si>
  <si>
    <t>Capers</t>
  </si>
  <si>
    <t>7 ounces</t>
  </si>
  <si>
    <t>9 ounces</t>
  </si>
  <si>
    <t>10 ounces</t>
  </si>
  <si>
    <t xml:space="preserve">Heat tilt skillet; mix flour, salt, and pepper. Dredge </t>
  </si>
  <si>
    <t>chicken in flour mixture.</t>
  </si>
  <si>
    <t>3 pounds 10 oz</t>
  </si>
  <si>
    <t>5 pounds 3 oz</t>
  </si>
  <si>
    <t>Pan fry chicken over moderate heat, turning as</t>
  </si>
  <si>
    <t>needed.</t>
  </si>
  <si>
    <t>7 Tbsp</t>
  </si>
  <si>
    <t>9 Tbsp</t>
  </si>
  <si>
    <t>10 Tbsp</t>
  </si>
  <si>
    <t>Cook chicken to 165° F and browned. Finish in oven if</t>
  </si>
  <si>
    <t>5 3/4 Tbsp</t>
  </si>
  <si>
    <t>Slice chicken into 1/2 ounce pieces.</t>
  </si>
  <si>
    <r>
      <rPr>
        <b/>
        <i/>
        <sz val="10"/>
        <color theme="1"/>
        <rFont val="Arial"/>
        <family val="2"/>
      </rPr>
      <t>For Sauce</t>
    </r>
    <r>
      <rPr>
        <sz val="10"/>
        <color theme="1"/>
        <rFont val="Arial"/>
        <family val="2"/>
      </rPr>
      <t xml:space="preserve">: In tilt skillet, add to chicken cooking oil - </t>
    </r>
  </si>
  <si>
    <t>2 cups + 10 Tbsp</t>
  </si>
  <si>
    <t>3 3/8 cups</t>
  </si>
  <si>
    <t>3 3/4 cups</t>
  </si>
  <si>
    <t>lemon juice, parsley, capers, and seasonings. Blend</t>
  </si>
  <si>
    <t>flavors. Add in chicken base, water, and additional</t>
  </si>
  <si>
    <t>Chicken Base</t>
  </si>
  <si>
    <t>17 Tbsp + 1 tsp</t>
  </si>
  <si>
    <t>19 Tbsp + 3/4 tsp</t>
  </si>
  <si>
    <t>chicken stock.</t>
  </si>
  <si>
    <t xml:space="preserve">Bring to boil. Scrape to get up brown bits. Reduce </t>
  </si>
  <si>
    <t>5 qts + 1 1/2 cups</t>
  </si>
  <si>
    <t>7 quarts</t>
  </si>
  <si>
    <t>7 3/4 quarts</t>
  </si>
  <si>
    <t>sauce, adjust seasonings if necessary.</t>
  </si>
  <si>
    <t>Reserve sauce for pasta.</t>
  </si>
  <si>
    <t>Lemon Juice</t>
  </si>
  <si>
    <t xml:space="preserve">Serve 3 ounces of chicken over 6 oz of pasta. Pour 1 </t>
  </si>
  <si>
    <t>ounce of sauce of chicken and pasta.</t>
  </si>
  <si>
    <t>Parsley</t>
  </si>
  <si>
    <t>Lemon Pepper</t>
  </si>
  <si>
    <t>2 1/2 tsp</t>
  </si>
  <si>
    <t>2 3/4 tsp</t>
  </si>
  <si>
    <t>Garlic (whole, peeled)</t>
  </si>
  <si>
    <t>3 Tbsp + 1 1/2 tsp</t>
  </si>
  <si>
    <t>4 1/2 Tbsp</t>
  </si>
  <si>
    <t>Spaghetti</t>
  </si>
  <si>
    <t>17 pounds 3 oz</t>
  </si>
  <si>
    <t>22 pounds</t>
  </si>
  <si>
    <t>24 1/2 pounds</t>
  </si>
  <si>
    <t>Additional Chicken Stock</t>
  </si>
  <si>
    <t>1 qt + 1 1/2 cups</t>
  </si>
  <si>
    <t>1 3/4 quarts</t>
  </si>
  <si>
    <t>Calories: 351</t>
  </si>
  <si>
    <t>Total Fat: 10.9 g</t>
  </si>
  <si>
    <t>Saturated Fat: 1.9 g</t>
  </si>
  <si>
    <t>Cholesterol: 73.3 mg</t>
  </si>
  <si>
    <t>Sodium: 383.8 mg</t>
  </si>
  <si>
    <t>Dietary Fiber: 1.9 g</t>
  </si>
  <si>
    <t>Iron: 2.47 mg</t>
  </si>
  <si>
    <t>Calcium: 0.56 mg</t>
  </si>
  <si>
    <t>Sugars: 1.86 g</t>
  </si>
  <si>
    <t>Potassium: 161.2 mg</t>
  </si>
  <si>
    <t>Butter (melted)</t>
  </si>
  <si>
    <t>1 pound 5 oz</t>
  </si>
  <si>
    <t>1 pound 11 oz</t>
  </si>
  <si>
    <t>1 pound 14 oz</t>
  </si>
  <si>
    <t>Butter one side of 175 slices of bread.</t>
  </si>
  <si>
    <t xml:space="preserve">Top each slice of bread with 1 1/2 slices (1.125 oz) of </t>
  </si>
  <si>
    <t>Enriched Bread (38 g oz/slice)</t>
  </si>
  <si>
    <t>350 each</t>
  </si>
  <si>
    <t>450 each</t>
  </si>
  <si>
    <t>500 each</t>
  </si>
  <si>
    <t>cheddar cheese and 2 slices (1 ounce) of swiss.</t>
  </si>
  <si>
    <t>≈ 23 1/3 loaves</t>
  </si>
  <si>
    <t>≈ 30 loaves</t>
  </si>
  <si>
    <t>≈ 16 2/3 loaves</t>
  </si>
  <si>
    <t>Cover with remaining bread slices.</t>
  </si>
  <si>
    <t>Cheddar Cheese (slices)</t>
  </si>
  <si>
    <t>262 1/2 each</t>
  </si>
  <si>
    <t>337 1/2 each</t>
  </si>
  <si>
    <t>375 each</t>
  </si>
  <si>
    <t xml:space="preserve">Brush tops of sandwiches with remaining butter, </t>
  </si>
  <si>
    <t>≈ 1 1/2 ounces (3 Tbsp) per pan.</t>
  </si>
  <si>
    <t>Swiss Cheese (slices)</t>
  </si>
  <si>
    <t>Cook on tilt skillet.</t>
  </si>
  <si>
    <t xml:space="preserve">If cooking in oven, cook at 400° F, low fan, 10  </t>
  </si>
  <si>
    <t>minutes or until browned lightly.</t>
  </si>
  <si>
    <t>If desired, cut each sandwich diagonally in half.</t>
  </si>
  <si>
    <t>Calories: 465.5</t>
  </si>
  <si>
    <t>Total Fat: 24 g</t>
  </si>
  <si>
    <t>Saturated Fat: 12.7 g</t>
  </si>
  <si>
    <t>Cholesterol: 62.6 mg</t>
  </si>
  <si>
    <t>Sodium: 643 mg</t>
  </si>
  <si>
    <t>Total Carbohydrate: 41 g</t>
  </si>
  <si>
    <t>Dietary Fiber: 2 g</t>
  </si>
  <si>
    <t>Vitamin A: 753.6 IU</t>
  </si>
  <si>
    <t>Protein: 21.6 g</t>
  </si>
  <si>
    <t>Calcium: 558 mg</t>
  </si>
  <si>
    <t>Potassium: 138 mg</t>
  </si>
  <si>
    <t>Ash: 2.8 g</t>
  </si>
  <si>
    <t>Water: 37.57 g</t>
  </si>
  <si>
    <t>2 Tacos (1 1/2 ounces beef per taco) or 1 Taco w/3 oz beef</t>
  </si>
  <si>
    <t>Cost of Taco Meat</t>
  </si>
  <si>
    <t>22 pounds 5 oz</t>
  </si>
  <si>
    <t>28 1/2 pounds</t>
  </si>
  <si>
    <t>31 3/4 pounds</t>
  </si>
  <si>
    <t xml:space="preserve">Add chopped onions, salt, granulated garlic, pepper, </t>
  </si>
  <si>
    <t>3 cups</t>
  </si>
  <si>
    <t xml:space="preserve">tomato paste, water, chili powder, ground cumin, </t>
  </si>
  <si>
    <t xml:space="preserve">paprika, and onion powder. Blend well. Bring to boil. </t>
  </si>
  <si>
    <t>4 Tbsp + 2 tsp</t>
  </si>
  <si>
    <t>Reduce heat. Simmer for 25-30 minutes.</t>
  </si>
  <si>
    <t>Pour into serving pans.</t>
  </si>
  <si>
    <t>5 Tbsp + 1 tsp</t>
  </si>
  <si>
    <t>6 Tbsp + 2 1/2 tsp</t>
  </si>
  <si>
    <t>7 1/2 Tbsp</t>
  </si>
  <si>
    <t>Hold for hot service at 135° F or higher.</t>
  </si>
  <si>
    <t>3 Tbsp + 1 tsp</t>
  </si>
  <si>
    <r>
      <rPr>
        <sz val="10"/>
        <color rgb="FFC00000"/>
        <rFont val="Arial"/>
        <family val="2"/>
      </rPr>
      <t>*</t>
    </r>
    <r>
      <rPr>
        <sz val="10"/>
        <color theme="1"/>
        <rFont val="Arial"/>
        <family val="2"/>
      </rPr>
      <t xml:space="preserve"> Option is to add black beans to generate more</t>
    </r>
  </si>
  <si>
    <t>portions without having to add more beef - same</t>
  </si>
  <si>
    <t>Tomato Paste</t>
  </si>
  <si>
    <t>5 1/2 cups</t>
  </si>
  <si>
    <t>7 cups</t>
  </si>
  <si>
    <t>7 3/4 cups</t>
  </si>
  <si>
    <t>MMA at reduced price/meal.</t>
  </si>
  <si>
    <t>4 qts 1 1/2 cups</t>
  </si>
  <si>
    <t>5 1/2 quarts</t>
  </si>
  <si>
    <t>6 quarts</t>
  </si>
  <si>
    <t>* Axis (elementary) serving = 2 ounces beef total</t>
  </si>
  <si>
    <t>* MS and HS serving = 3 ounces beef total</t>
  </si>
  <si>
    <t>1/2 cup + 2 1/2 Tbsp</t>
  </si>
  <si>
    <t>3/4 cup + 5 Tbsp</t>
  </si>
  <si>
    <t>Cumin Ground</t>
  </si>
  <si>
    <t>1/2 cup + 2 tsp</t>
  </si>
  <si>
    <t>1/2 cup + 3 1/4 Tbsp</t>
  </si>
  <si>
    <t>1/2 cup + 3 2/3 Tbsp</t>
  </si>
  <si>
    <t>2 1/4 Tbsp</t>
  </si>
  <si>
    <t>Onion Powder</t>
  </si>
  <si>
    <t>Lettuce (shredded)</t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</si>
  <si>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14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</si>
  <si>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18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</si>
  <si>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20 pounds</t>
    </r>
  </si>
  <si>
    <t>Tomatoes (diced)</t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</si>
  <si>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6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</si>
  <si>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7 1/2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</si>
  <si>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8 1/2 pounds</t>
    </r>
  </si>
  <si>
    <t>Salsa</t>
  </si>
  <si>
    <t>5 1/4 cups</t>
  </si>
  <si>
    <t>6 3/4 cups</t>
  </si>
  <si>
    <t>8" Whole Grain Tortilla</t>
  </si>
  <si>
    <t>Cheddar Cheese Shreds</t>
  </si>
  <si>
    <t>5 lbs 11 oz</t>
  </si>
  <si>
    <t>7 1/4 pounds</t>
  </si>
  <si>
    <t>8 pounds</t>
  </si>
  <si>
    <t>Dark Green Vegetable</t>
  </si>
  <si>
    <t>3.2 (2 Tacos) 1.6 (1 Taco)</t>
  </si>
  <si>
    <t>Calories: 484</t>
  </si>
  <si>
    <t>Total Fat: 21.7 g</t>
  </si>
  <si>
    <t>Saturated Fat: 8.8 g</t>
  </si>
  <si>
    <t>Cholesterol: 54.4 mg</t>
  </si>
  <si>
    <t>Sodium: 948 mg</t>
  </si>
  <si>
    <t>Total Carbohydrate: 48.7 g</t>
  </si>
  <si>
    <t>Dietary Fiber: 5.5 g</t>
  </si>
  <si>
    <t>Iron: 4.16 mg</t>
  </si>
  <si>
    <t>Vitamin A: 3615.3 IU</t>
  </si>
  <si>
    <t>Vitamin C: 12.26 mg</t>
  </si>
  <si>
    <t>Calcium: 293 mg</t>
  </si>
  <si>
    <t>Sugars: 2.16 g</t>
  </si>
  <si>
    <t>Vitamin D: 0.23 mcg</t>
  </si>
  <si>
    <t>Potassium: 6924 mg</t>
  </si>
  <si>
    <t>Ash: 0.7 g</t>
  </si>
  <si>
    <t>Water: 84.5 g</t>
  </si>
  <si>
    <t>4 ounces of chicken over 6 ounces of rice</t>
  </si>
  <si>
    <t>200 Servings</t>
  </si>
  <si>
    <t>275 Servings</t>
  </si>
  <si>
    <t>Cost/Svg Data</t>
  </si>
  <si>
    <t>25 1/2 pounds</t>
  </si>
  <si>
    <t>35 pounds</t>
  </si>
  <si>
    <t xml:space="preserve">Cook chicken with lime juice and drain. Hold and add </t>
  </si>
  <si>
    <t>(cooked with lime juice)</t>
  </si>
  <si>
    <t>to completed sauce.</t>
  </si>
  <si>
    <r>
      <rPr>
        <b/>
        <i/>
        <sz val="10"/>
        <color theme="1"/>
        <rFont val="Arial"/>
        <family val="2"/>
      </rPr>
      <t>For Sauce</t>
    </r>
    <r>
      <rPr>
        <sz val="10"/>
        <color theme="1"/>
        <rFont val="Arial"/>
        <family val="2"/>
      </rPr>
      <t xml:space="preserve">:  In a stockpot, heat sesame oil over </t>
    </r>
  </si>
  <si>
    <t xml:space="preserve">medium heat.  Add garlic, ginger, and red pepper </t>
  </si>
  <si>
    <t xml:space="preserve">flakes (cayenne) and cook until fragrant, about 1-2 </t>
  </si>
  <si>
    <t>1 3/8 Tbsp</t>
  </si>
  <si>
    <t xml:space="preserve">Add water, chicken base, orange juice concentrate, </t>
  </si>
  <si>
    <t>soy sauce, rice vinegar, brown sugar, orange peel</t>
  </si>
  <si>
    <t>2 1/2 quarts</t>
  </si>
  <si>
    <t>3 1/2 quarts</t>
  </si>
  <si>
    <t>3 3/4 quarts</t>
  </si>
  <si>
    <t xml:space="preserve">with strained juice, lemon juice, vegetable oil, and </t>
  </si>
  <si>
    <t>black pepper. Combine and simmer for 1/2 hour,</t>
  </si>
  <si>
    <t>1/2 cup + 1 1/2 Tbsp</t>
  </si>
  <si>
    <t>1/2 cup + 1 3/4 Tbsp</t>
  </si>
  <si>
    <t>stirring occasionally.</t>
  </si>
  <si>
    <t>Remove orange peel.</t>
  </si>
  <si>
    <t>Orange Juice Concentrate</t>
  </si>
  <si>
    <t>4 1/3 cups</t>
  </si>
  <si>
    <t xml:space="preserve">Heat sauce to 190°-200° F, create slurry by whisking </t>
  </si>
  <si>
    <t xml:space="preserve">together cornstarch and cold water. Add to sauce and </t>
  </si>
  <si>
    <t>Tamari Soy Sauce and</t>
  </si>
  <si>
    <t xml:space="preserve">whisk constantly until smooth and coats the back of a </t>
  </si>
  <si>
    <t>Liquid Aminos Soy</t>
  </si>
  <si>
    <t>spoon. This will take at least three minutes. Do not</t>
  </si>
  <si>
    <t>boil.</t>
  </si>
  <si>
    <t>Hot hold at or above 140° F.</t>
  </si>
  <si>
    <r>
      <rPr>
        <b/>
        <i/>
        <sz val="10"/>
        <color theme="1"/>
        <rFont val="Arial"/>
        <family val="2"/>
      </rPr>
      <t>For Vegetables</t>
    </r>
    <r>
      <rPr>
        <sz val="10"/>
        <color theme="1"/>
        <rFont val="Arial"/>
        <family val="2"/>
      </rPr>
      <t>:  Cook vegetables until al dente.</t>
    </r>
  </si>
  <si>
    <t>Cover and hot hold all vegetables at or above 140° F.</t>
  </si>
  <si>
    <t>1 1/4 tsp</t>
  </si>
  <si>
    <t>1 3/4 tsp</t>
  </si>
  <si>
    <t xml:space="preserve">Optional:  Can prepare vegetables day before using </t>
  </si>
  <si>
    <t>steaming and chilling method. Before service, reheat</t>
  </si>
  <si>
    <t>properly.</t>
  </si>
  <si>
    <r>
      <rPr>
        <b/>
        <i/>
        <sz val="10"/>
        <color theme="1"/>
        <rFont val="Arial"/>
        <family val="2"/>
      </rPr>
      <t>For Bowl</t>
    </r>
    <r>
      <rPr>
        <sz val="10"/>
        <color theme="1"/>
        <rFont val="Arial"/>
        <family val="2"/>
      </rPr>
      <t xml:space="preserve">:  Cook brown rice in steamer or oven. Hot </t>
    </r>
  </si>
  <si>
    <t>hold at or above 140° F.</t>
  </si>
  <si>
    <t xml:space="preserve">Reheat chicken to 165° F for 15 seconds. Hot hold at </t>
  </si>
  <si>
    <t>or above 140° F.</t>
  </si>
  <si>
    <t xml:space="preserve">Combine sauce, vegetables, and chicken.  Serve over </t>
  </si>
  <si>
    <t>Carrots</t>
  </si>
  <si>
    <t>7 lbs</t>
  </si>
  <si>
    <t>9 1/2 lbs</t>
  </si>
  <si>
    <t>10 1/2 lbs</t>
  </si>
  <si>
    <t>brown rice.</t>
  </si>
  <si>
    <t>Red Pepper</t>
  </si>
  <si>
    <t>7 1/3 lbs</t>
  </si>
  <si>
    <t>10 lbs</t>
  </si>
  <si>
    <t>11 lbs</t>
  </si>
  <si>
    <t>Zucchini Squash</t>
  </si>
  <si>
    <t>Brown Rice</t>
  </si>
  <si>
    <t>32 1/4 cups</t>
  </si>
  <si>
    <t>44 1/3 cups</t>
  </si>
  <si>
    <t>48 3/8 cups</t>
  </si>
  <si>
    <t>2 gallons</t>
  </si>
  <si>
    <t>2 1/2 gallons</t>
  </si>
  <si>
    <t>2 3/4 gallons</t>
  </si>
  <si>
    <t>Onions (large)</t>
  </si>
  <si>
    <t>4 1/2 each</t>
  </si>
  <si>
    <t>Ginger</t>
  </si>
  <si>
    <t>1/2 cup + 1 Tbsp</t>
  </si>
  <si>
    <t>1/2 cup + 2 Tbsp</t>
  </si>
  <si>
    <t>3/4 cup + 1 3/4 Tbsp</t>
  </si>
  <si>
    <t>Calories: 274</t>
  </si>
  <si>
    <t>Total Fat: 9.6 g</t>
  </si>
  <si>
    <t>Sodium: 778 mg</t>
  </si>
  <si>
    <t>Total Carbohydrate: 34 g</t>
  </si>
  <si>
    <t>Dietary Fiber: 2.2 g</t>
  </si>
  <si>
    <t>Iron: 1.17 mg</t>
  </si>
  <si>
    <t>Vitamin A: 1405.3 IU</t>
  </si>
  <si>
    <t>Protein: 15 g</t>
  </si>
  <si>
    <t>Vitamin C: 11.3 mg</t>
  </si>
  <si>
    <t>Calcium: 11.3 mg</t>
  </si>
  <si>
    <t>Sugars: 6.5 g</t>
  </si>
  <si>
    <t>Potassium: 149 mg</t>
  </si>
  <si>
    <t>Ash: 0.0058 g</t>
  </si>
  <si>
    <t>Water: 1.47 g</t>
  </si>
  <si>
    <t>1 Potato Topped with 2 Ounces Taco Meat</t>
  </si>
  <si>
    <t>Beef Taco Meat (Recipe</t>
  </si>
  <si>
    <t>22 lbs</t>
  </si>
  <si>
    <t>28  lbs</t>
  </si>
  <si>
    <t>31 lbs</t>
  </si>
  <si>
    <t>Clean potatoes and place on sheet pan. Bake 45</t>
  </si>
  <si>
    <t>008)</t>
  </si>
  <si>
    <r>
      <t>minutes in 375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oven. Slit prior to putting in pan for</t>
    </r>
  </si>
  <si>
    <t>Potatoes (scrubbed, skin-on)</t>
  </si>
  <si>
    <t>easier serving.</t>
  </si>
  <si>
    <t>Prepare taco meat according to Recipe 008</t>
  </si>
  <si>
    <t>Shredded Cheese (topping)</t>
  </si>
  <si>
    <t>11 pounds</t>
  </si>
  <si>
    <t>14 pounds</t>
  </si>
  <si>
    <t>15 1/2 pounds</t>
  </si>
  <si>
    <t>instructions.</t>
  </si>
  <si>
    <t>If using left over taco meat, heat to 165° F then</t>
  </si>
  <si>
    <t>portion into hotel pans.</t>
  </si>
  <si>
    <t>3.3745 (w/1 oz cheese)</t>
  </si>
  <si>
    <t>Calories: 285</t>
  </si>
  <si>
    <t>Total Fat: 9.5 g</t>
  </si>
  <si>
    <t>Saturated Fat: 3.6 g</t>
  </si>
  <si>
    <t>Cholesterol: 41 mg</t>
  </si>
  <si>
    <t>Sodium: 448.3 mg</t>
  </si>
  <si>
    <t>Carbohydrate: 34.15 g</t>
  </si>
  <si>
    <t>Dietary Fiber: 4.89 g</t>
  </si>
  <si>
    <t>Protein: 15.7 g</t>
  </si>
  <si>
    <t>Vitamin A: 316.5 IU</t>
  </si>
  <si>
    <t>Vitamin C: 35.4 mg</t>
  </si>
  <si>
    <t>Calcium: 57.26 mg</t>
  </si>
  <si>
    <t>Iron: 3.2 mg</t>
  </si>
  <si>
    <t>1 Burrito</t>
  </si>
  <si>
    <t>9 1/3 lbs</t>
  </si>
  <si>
    <t>12 lbs</t>
  </si>
  <si>
    <t>16 lbs</t>
  </si>
  <si>
    <t>Cook brown rice.</t>
  </si>
  <si>
    <t>Cook chicken at 350° F for 20 minutes.</t>
  </si>
  <si>
    <t>5 lbs 5 oz</t>
  </si>
  <si>
    <t>6 lbs 13 1/2 oz</t>
  </si>
  <si>
    <t>9 lbs 2 oz</t>
  </si>
  <si>
    <t xml:space="preserve">Combine chicken, black beans, cheese, rice, oregano, </t>
  </si>
  <si>
    <t xml:space="preserve">salt, cumin, and salsa in Hobart mixer to combine. </t>
  </si>
  <si>
    <t>Brown Rice (cooked)</t>
  </si>
  <si>
    <t>6 1/8 lbs</t>
  </si>
  <si>
    <t>7 3/4 lbs</t>
  </si>
  <si>
    <t xml:space="preserve">This will also help to break up some of the larger </t>
  </si>
  <si>
    <t>pieces of chicken.</t>
  </si>
  <si>
    <t>Lay tortillas out on workspace.</t>
  </si>
  <si>
    <t>To assemble burritos:</t>
  </si>
  <si>
    <t>2 Tbsp 2 tsp</t>
  </si>
  <si>
    <t xml:space="preserve">Using a #8 disher or heaping 4 ounce spoodle, place </t>
  </si>
  <si>
    <t>chicken/bean/rice mixture in center of tortilla. Fold</t>
  </si>
  <si>
    <t>in sides tightly and roll up.</t>
  </si>
  <si>
    <t xml:space="preserve">Place 26 burritos in each parchment-lined sheet pan, </t>
  </si>
  <si>
    <t>Oregano</t>
  </si>
  <si>
    <t xml:space="preserve">4x6 plus 2 on the end. Cover with foil and heat at </t>
  </si>
  <si>
    <t>350° F until internal temperature reaches 165° F.</t>
  </si>
  <si>
    <t>18 lbs</t>
  </si>
  <si>
    <t>23 1/4 lbs</t>
  </si>
  <si>
    <t>Serve 1 burrito.</t>
  </si>
  <si>
    <t>10" Whole Grain Tortillas</t>
  </si>
  <si>
    <t>1 cup uncooked rice = 3 cups cooked rice</t>
  </si>
  <si>
    <t>Water to Cook Rice</t>
  </si>
  <si>
    <t>11 quarts</t>
  </si>
  <si>
    <t>14 quarts 1/2 cup</t>
  </si>
  <si>
    <t>18 quarts 3 1/3 cups</t>
  </si>
  <si>
    <t>Lime Juice</t>
  </si>
  <si>
    <t>Calories: 387.4</t>
  </si>
  <si>
    <t>Total Fat: 11.6 g</t>
  </si>
  <si>
    <t>Saturated Fat: 4.4 g</t>
  </si>
  <si>
    <t>Cholesterol: 31.4 mg</t>
  </si>
  <si>
    <t>Sodium: 808.5 mg</t>
  </si>
  <si>
    <t>Total Carbohydrate: 54 g</t>
  </si>
  <si>
    <t>Dietary Fiber: 6.8 g</t>
  </si>
  <si>
    <t>Vitamin A: 29 IU</t>
  </si>
  <si>
    <t>Protein: 17.6 g</t>
  </si>
  <si>
    <t>Calcium: 255 mg</t>
  </si>
  <si>
    <t>Sugars: 0.9 g</t>
  </si>
  <si>
    <t>Potassium: 327 mg</t>
  </si>
  <si>
    <t>Added Sugars: 1.256 g</t>
  </si>
  <si>
    <t>8 ounces weight (3/4 cup volume)</t>
  </si>
  <si>
    <t>375 Servings</t>
  </si>
  <si>
    <t>Penne Pasta (whole grain)</t>
  </si>
  <si>
    <t>11 pounds 3 oz</t>
  </si>
  <si>
    <t>14 pounds 6 oz</t>
  </si>
  <si>
    <t xml:space="preserve">Make pizza sauce using recipe found in Pizza section </t>
  </si>
  <si>
    <t>of recipe binder.</t>
  </si>
  <si>
    <t>2 1/3 Tbsp</t>
  </si>
  <si>
    <t xml:space="preserve">Drain and puree roasted red peppers. Cook pasta </t>
  </si>
  <si>
    <t>until half way done and cool.</t>
  </si>
  <si>
    <t>9 lbs 13 oz</t>
  </si>
  <si>
    <t>12 pounds 9 1/2 oz</t>
  </si>
  <si>
    <t>21 pounds</t>
  </si>
  <si>
    <t xml:space="preserve">Cook beef and in tilt skillet with oil until </t>
  </si>
  <si>
    <t xml:space="preserve">reaches 165° F. Make sure it is chopped well while </t>
  </si>
  <si>
    <t>Ground Beef</t>
  </si>
  <si>
    <t>24 lbs 4 oz</t>
  </si>
  <si>
    <t>31 lbs 3 oz</t>
  </si>
  <si>
    <t>cooking. Drain off fat and add in garlic powder, oregano,</t>
  </si>
  <si>
    <t>basil, salt, Italian seasoning, garlic, and pepper puree.</t>
  </si>
  <si>
    <t>Parmesan Cheese</t>
  </si>
  <si>
    <t>1 pound</t>
  </si>
  <si>
    <t>1 pound 3 oz</t>
  </si>
  <si>
    <t>2 pounds</t>
  </si>
  <si>
    <t>Mix well.</t>
  </si>
  <si>
    <t>Add to pasta, pizza sauce, parmesan cheese,</t>
  </si>
  <si>
    <t>4 lbs 3 oz</t>
  </si>
  <si>
    <t>5 pounds 6 oz</t>
  </si>
  <si>
    <t>mozzarella cheese, vinegar, and sherry.</t>
  </si>
  <si>
    <t xml:space="preserve">Place ≈ 12 pounds 8 ounces in a hotel pan and cover </t>
  </si>
  <si>
    <t>Basil</t>
  </si>
  <si>
    <t>with foil.</t>
  </si>
  <si>
    <t xml:space="preserve">Bake at 350° F for ≈ 25 minutes or until reaches </t>
  </si>
  <si>
    <t>11 Tbsp</t>
  </si>
  <si>
    <t xml:space="preserve">165° F. Remove foil and add 12 ounces of mozzarella </t>
  </si>
  <si>
    <t xml:space="preserve">cheese per pan and cook for another 10 minutes </t>
  </si>
  <si>
    <t>Olive Oil</t>
  </si>
  <si>
    <t>uncovered.</t>
  </si>
  <si>
    <t>Pan 25 servings per pan. Cover with mozzarella</t>
  </si>
  <si>
    <t>Pizza Sauce (with</t>
  </si>
  <si>
    <t>33 cups (2 gallons)</t>
  </si>
  <si>
    <t>43 cups (2 1/2 gallons)</t>
  </si>
  <si>
    <t>72 cups (4 1/2 gallons)</t>
  </si>
  <si>
    <t>cheese and place in hot box to melt.</t>
  </si>
  <si>
    <t>pizza recipes)</t>
  </si>
  <si>
    <t>12 pounds = 25 servings</t>
  </si>
  <si>
    <t>Italian Seasoning</t>
  </si>
  <si>
    <t xml:space="preserve"> </t>
  </si>
  <si>
    <t>Garlic</t>
  </si>
  <si>
    <t>Vinegar</t>
  </si>
  <si>
    <t>Sherry Wine</t>
  </si>
  <si>
    <t>Calories: 264.4</t>
  </si>
  <si>
    <t>Total Fat: 10.6 g</t>
  </si>
  <si>
    <t>Cholesterol: 31 mg</t>
  </si>
  <si>
    <t>Sodium: 650 mg</t>
  </si>
  <si>
    <t>Total Carbohydrate: 30.6 g</t>
  </si>
  <si>
    <t>Iron: 2.4 mg</t>
  </si>
  <si>
    <t>Vitamin A: 971 IU</t>
  </si>
  <si>
    <t>Protein: 14 g</t>
  </si>
  <si>
    <t>Vitamin C: 14 mg</t>
  </si>
  <si>
    <t>Calcium: 93 mg</t>
  </si>
  <si>
    <t>Potassium: 3471 mg</t>
  </si>
  <si>
    <t>Ash: 0.3 g</t>
  </si>
  <si>
    <t>Water: 28 g</t>
  </si>
  <si>
    <t>Added Sugars: 0.0008 g</t>
  </si>
  <si>
    <t>HS = 6 ounces chicken over 6 ounces rice</t>
  </si>
  <si>
    <t>Elementary &amp; MS = 4 ounces chicken over 6 ounces rice</t>
  </si>
  <si>
    <t>174 Servings</t>
  </si>
  <si>
    <t>248 Servings</t>
  </si>
  <si>
    <t>30 pounds</t>
  </si>
  <si>
    <t>47 1/2 pounds</t>
  </si>
  <si>
    <t>Cook chicken and drain. Hold for later step.</t>
  </si>
  <si>
    <t>(browned and drained)</t>
  </si>
  <si>
    <r>
      <t>Heat oil in tilt skillet at 275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F.</t>
    </r>
  </si>
  <si>
    <t>Grape Seed Oil</t>
  </si>
  <si>
    <t>4 cups</t>
  </si>
  <si>
    <t>Brown onions for 20 minutes adjusting heat between</t>
  </si>
  <si>
    <t>250°-275° F to make sure not to burn onions.</t>
  </si>
  <si>
    <t>Onions (diced)</t>
  </si>
  <si>
    <t>7 each (5 qts)</t>
  </si>
  <si>
    <t>10 each (7 qts)</t>
  </si>
  <si>
    <t>11 each (8 qts)</t>
  </si>
  <si>
    <t>Stirring frequently.</t>
  </si>
  <si>
    <t>Add ginger - one minute; garlic - one minute.</t>
  </si>
  <si>
    <t>Ginger (minced)</t>
  </si>
  <si>
    <t>12 oz</t>
  </si>
  <si>
    <t>17 oz</t>
  </si>
  <si>
    <t>19 oz</t>
  </si>
  <si>
    <t>Make paste by adding water to remaining spices.</t>
  </si>
  <si>
    <t>Add paste made from spices and cook until very</t>
  </si>
  <si>
    <t>Garlic (minced)</t>
  </si>
  <si>
    <t>fragrant (1-2 minutes max).</t>
  </si>
  <si>
    <t>Then add coconut milk (or crushed tomatoes if</t>
  </si>
  <si>
    <t>Thai Chili (crushed)</t>
  </si>
  <si>
    <t>9 each</t>
  </si>
  <si>
    <t>12 3/4 each</t>
  </si>
  <si>
    <t>14 each</t>
  </si>
  <si>
    <t>making red sauce and bring up to temp.</t>
  </si>
  <si>
    <t>Add vegetables and chicken and simmer for 1-1.5</t>
  </si>
  <si>
    <t>hours if possible.</t>
  </si>
  <si>
    <t>Cloves (ground)</t>
  </si>
  <si>
    <t>Serve lightly chopped cilantro as a garnish on the</t>
  </si>
  <si>
    <t>side.</t>
  </si>
  <si>
    <t>Turmeric</t>
  </si>
  <si>
    <r>
      <rPr>
        <b/>
        <sz val="10"/>
        <color theme="1"/>
        <rFont val="Arial"/>
        <family val="2"/>
      </rPr>
      <t>275 Servings recipe</t>
    </r>
    <r>
      <rPr>
        <sz val="10"/>
        <color theme="1"/>
        <rFont val="Arial"/>
        <family val="2"/>
      </rPr>
      <t xml:space="preserve"> yields about 135-6 oz servings</t>
    </r>
  </si>
  <si>
    <t>for HS and about 210-4 oz servings for MS and Axis</t>
  </si>
  <si>
    <t>Lemongrass (ground)</t>
  </si>
  <si>
    <t>5 oz</t>
  </si>
  <si>
    <t>7 oz</t>
  </si>
  <si>
    <t>8 oz</t>
  </si>
  <si>
    <r>
      <rPr>
        <b/>
        <sz val="10"/>
        <color theme="1"/>
        <rFont val="Arial"/>
        <family val="2"/>
      </rPr>
      <t>248 Servings recipe</t>
    </r>
    <r>
      <rPr>
        <sz val="10"/>
        <color theme="1"/>
        <rFont val="Arial"/>
        <family val="2"/>
      </rPr>
      <t xml:space="preserve"> yields about 135-6 oz servings</t>
    </r>
  </si>
  <si>
    <t>for HS and about 170-4 oz servings for MS and Axis</t>
  </si>
  <si>
    <t>Paprika (Spanish)</t>
  </si>
  <si>
    <r>
      <rPr>
        <b/>
        <sz val="10"/>
        <color theme="1"/>
        <rFont val="Arial"/>
        <family val="2"/>
      </rPr>
      <t>174 Servings recipe</t>
    </r>
    <r>
      <rPr>
        <sz val="10"/>
        <color theme="1"/>
        <rFont val="Arial"/>
        <family val="2"/>
      </rPr>
      <t xml:space="preserve"> yields about 135-6 oz servings</t>
    </r>
  </si>
  <si>
    <t>Cayenne</t>
  </si>
  <si>
    <t>for HS and about 58-4 oz servings for MS and Axis</t>
  </si>
  <si>
    <r>
      <t xml:space="preserve">Coconut Milk (light) </t>
    </r>
    <r>
      <rPr>
        <sz val="11"/>
        <color rgb="FFFF0000"/>
        <rFont val="Arial"/>
        <family val="2"/>
      </rPr>
      <t>or</t>
    </r>
  </si>
  <si>
    <t>4 #10 Cans</t>
  </si>
  <si>
    <t>5 3/4 #10 Cans</t>
  </si>
  <si>
    <t>6 1/3 #10 Cans</t>
  </si>
  <si>
    <t>Crushed Tomatoes (for red sauce)</t>
  </si>
  <si>
    <t>Carrots (diced)</t>
  </si>
  <si>
    <t>19 pounds</t>
  </si>
  <si>
    <t>Sweet Potato (diced)</t>
  </si>
  <si>
    <t>13 pounds</t>
  </si>
  <si>
    <t>18 1/2 pounds</t>
  </si>
  <si>
    <t>20 1/2 pounds</t>
  </si>
  <si>
    <t>Chicken Broth</t>
  </si>
  <si>
    <t>3/4 cups</t>
  </si>
  <si>
    <t>9 1/2 Tbsp</t>
  </si>
  <si>
    <t>2 (with rice)</t>
  </si>
  <si>
    <t>Total Fat: 17 g</t>
  </si>
  <si>
    <t>Saturated Fat:</t>
  </si>
  <si>
    <t>Cholesterol: 127 mg</t>
  </si>
  <si>
    <t>Sodium: 718 mg</t>
  </si>
  <si>
    <t>Carbohydrate: 10 g</t>
  </si>
  <si>
    <t>Dietary Fiber: 2.6 g</t>
  </si>
  <si>
    <t>Protein: 36 g</t>
  </si>
  <si>
    <t>Sugar: 1 g</t>
  </si>
  <si>
    <t>Iron:</t>
  </si>
  <si>
    <t>Vitamin A:</t>
  </si>
  <si>
    <t>Vitamin C:</t>
  </si>
  <si>
    <t>1 Wrap (2 halves)</t>
  </si>
  <si>
    <t>12" Soft Flour Tortilla (at</t>
  </si>
  <si>
    <t xml:space="preserve">Steam tortillas for 3 minutes until warm or place in </t>
  </si>
  <si>
    <t>least 1.8 oz)</t>
  </si>
  <si>
    <t>warmer to prevent torn tortillas when folding.</t>
  </si>
  <si>
    <t>Ranch Dressing</t>
  </si>
  <si>
    <t>175 oz</t>
  </si>
  <si>
    <t>225 oz</t>
  </si>
  <si>
    <t>250 oz</t>
  </si>
  <si>
    <t xml:space="preserve">For Ranch Dressing, use recipe in book. Spread 2 </t>
  </si>
  <si>
    <t>Tbsp ranch dressing down the center of each tortilla.</t>
  </si>
  <si>
    <t>Leaf Lettuce</t>
  </si>
  <si>
    <t>2 lbs 13 1/2 oz</t>
  </si>
  <si>
    <t>4 pounds</t>
  </si>
  <si>
    <t>Place about 1/4 oz lettuce on top of ranch dressing.</t>
  </si>
  <si>
    <t xml:space="preserve">Combine raw vegetables (green peppers, onions, </t>
  </si>
  <si>
    <t>Green Peppers (raw,</t>
  </si>
  <si>
    <t>7 1/3 pounds</t>
  </si>
  <si>
    <t xml:space="preserve">carrots, and cucumbers). Portion 2 ounces of </t>
  </si>
  <si>
    <t>chopped)</t>
  </si>
  <si>
    <t xml:space="preserve">vegetable mix with a Number 10 scoop (3/8 cup) on </t>
  </si>
  <si>
    <t>Onions (raw, chopped)</t>
  </si>
  <si>
    <t>6 lbs 5 1/2 oz</t>
  </si>
  <si>
    <t>top of lettuce leaf and dressing.</t>
  </si>
  <si>
    <t>Sprinkle 1 ounce (1/4 cup) cheese on top of</t>
  </si>
  <si>
    <t>Carrots (raw, peeled, sliced)</t>
  </si>
  <si>
    <t>4 lbs 9 1/2 oz</t>
  </si>
  <si>
    <t>6 1/2 pounds</t>
  </si>
  <si>
    <t>vegetables.</t>
  </si>
  <si>
    <t xml:space="preserve">Fold the top and bottom of the tortilla into the center. </t>
  </si>
  <si>
    <t>Cucumbers (raw, peeled,</t>
  </si>
  <si>
    <t>5 lbs 7 1/2 oz</t>
  </si>
  <si>
    <t>7 3/4 pounds</t>
  </si>
  <si>
    <t xml:space="preserve">Beginning at either side, roll the tortilla until all the </t>
  </si>
  <si>
    <t>diced)</t>
  </si>
  <si>
    <t>contents cannot be seen.</t>
  </si>
  <si>
    <t>10 lbs 15 oz</t>
  </si>
  <si>
    <t>Cut diagonally in half.</t>
  </si>
  <si>
    <t>Serve w/Greek Garbanzo Bean Salad (209) as side.</t>
  </si>
  <si>
    <t>Calories: 299</t>
  </si>
  <si>
    <t>Total Fat: 10.8 g</t>
  </si>
  <si>
    <t>Saturated Fat: 4.72 g</t>
  </si>
  <si>
    <t>Cholesterol: 21 mg</t>
  </si>
  <si>
    <t>Sodium: 636 mg</t>
  </si>
  <si>
    <t>Carbohydrate: 36.52 g</t>
  </si>
  <si>
    <t>Dietary Fiber: 2.9 g</t>
  </si>
  <si>
    <t>Protein: 13.8 g</t>
  </si>
  <si>
    <t>Vitamin A: 3,707 IU</t>
  </si>
  <si>
    <t>Vitamin C: 16.5 mg</t>
  </si>
  <si>
    <t>Calcium: 336 mg</t>
  </si>
  <si>
    <t>Iron: 2.04 mg</t>
  </si>
  <si>
    <t>Chips 1.5 oz; Cheese 1 oz; Taco Meat 2 oz</t>
  </si>
  <si>
    <t>350 Servings</t>
  </si>
  <si>
    <t>Taco Meat - see Beef Taco</t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</si>
  <si>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21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</si>
  <si>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28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</si>
  <si>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43 pounds</t>
    </r>
  </si>
  <si>
    <t>Prepare taco meat according to Recipe 008 or use</t>
  </si>
  <si>
    <t>recipe (008)</t>
  </si>
  <si>
    <t>left over taco meat heated to 165° F.</t>
  </si>
  <si>
    <r>
      <rPr>
        <b/>
        <sz val="10"/>
        <color theme="1"/>
        <rFont val="Arial"/>
        <family val="2"/>
      </rPr>
      <t>For Cheese Sauce</t>
    </r>
    <r>
      <rPr>
        <sz val="10"/>
        <color theme="1"/>
        <rFont val="Arial"/>
        <family val="2"/>
      </rPr>
      <t>: Melt butter in a large pot or</t>
    </r>
  </si>
  <si>
    <t xml:space="preserve">Dutch oven over medium heat. Sprinkle in 3 Tbsp </t>
  </si>
  <si>
    <t>plus 1 tsp flour (for 175 servings).</t>
  </si>
  <si>
    <t xml:space="preserve">Whisk constantly until the mixture is thick and all </t>
  </si>
  <si>
    <t>1 1/3 Tbsp</t>
  </si>
  <si>
    <t>1 3/4 Tbsp</t>
  </si>
  <si>
    <t>2 3/4 Tbsp</t>
  </si>
  <si>
    <t>the flour is incorporated, 3 to 4 minutes.</t>
  </si>
  <si>
    <t xml:space="preserve">Slowly pour cold milk into the butter mixture, </t>
  </si>
  <si>
    <t>Milk (cold)</t>
  </si>
  <si>
    <t>3/4 gallon</t>
  </si>
  <si>
    <t>1 gallon</t>
  </si>
  <si>
    <t>1 1/2 gallons</t>
  </si>
  <si>
    <t xml:space="preserve">whisking constantly until combined. Simmer, stirring </t>
  </si>
  <si>
    <t xml:space="preserve">occasionally, until slightly thickened, about 5 </t>
  </si>
  <si>
    <t>Onion</t>
  </si>
  <si>
    <t>3/8 cup</t>
  </si>
  <si>
    <t>7/8 cup</t>
  </si>
  <si>
    <t xml:space="preserve">minutes. Stir in onion, chipotle seasoning, poblanos, </t>
  </si>
  <si>
    <t>chili pouede, and salt.</t>
  </si>
  <si>
    <t>Chipotle Seasoning (dried,</t>
  </si>
  <si>
    <t>3/4 tsp</t>
  </si>
  <si>
    <t xml:space="preserve">Reduce heat to low and add Monterey Jack cheese, </t>
  </si>
  <si>
    <t>ground)</t>
  </si>
  <si>
    <t>and Mozzarella cheese, a handful at a time;</t>
  </si>
  <si>
    <t>Poblanos (roasted)</t>
  </si>
  <si>
    <t>1 1/2 each</t>
  </si>
  <si>
    <t>3 1/3 each</t>
  </si>
  <si>
    <t xml:space="preserve">stir until thoroughly melted. </t>
  </si>
  <si>
    <t>Season with salt to taste.</t>
  </si>
  <si>
    <t>To Taste</t>
  </si>
  <si>
    <t>Serve 1 oz cheese sauce over 1 1/2 oz tortilla chips.</t>
  </si>
  <si>
    <t>Monterey Jack Cheese</t>
  </si>
  <si>
    <t>2 7/8 pounds</t>
  </si>
  <si>
    <t>5 3/4 pounds</t>
  </si>
  <si>
    <t>Can serve 2 oz taco meat over cheese sauce if</t>
  </si>
  <si>
    <t>requested.</t>
  </si>
  <si>
    <t>2 1/2 pounds</t>
  </si>
  <si>
    <t>3 1/4 pounds</t>
  </si>
  <si>
    <t xml:space="preserve">Can also be served over taco shell pieces, baked </t>
  </si>
  <si>
    <t>potato, broccoli, cauliflower, or other veges.</t>
  </si>
  <si>
    <t>1 quart = 4 cups</t>
  </si>
  <si>
    <t>4 quarts = 1 gallon</t>
  </si>
  <si>
    <t>Tortilla Chips</t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</si>
  <si>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17 1/2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</si>
  <si>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22 1/2 pounds</t>
    </r>
  </si>
  <si>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35 pounds</t>
    </r>
  </si>
  <si>
    <t>Optional: Have salsa, jalapeno's,</t>
  </si>
  <si>
    <t>shredded lettuce and/or diced tomatoes available.</t>
  </si>
  <si>
    <t>Pickled Jalapeno</t>
  </si>
  <si>
    <t>2 1/3 cups</t>
  </si>
  <si>
    <t>Calories: 411.8</t>
  </si>
  <si>
    <t>Total Fat: 21.17 g</t>
  </si>
  <si>
    <t>Saturated Fat: 7.8 g</t>
  </si>
  <si>
    <t>Cholesterol: 51.4 mg</t>
  </si>
  <si>
    <t>Sodium: 433 mg</t>
  </si>
  <si>
    <t>Total Carbohydrate: 34.7 g</t>
  </si>
  <si>
    <t>Dietary Fiber: 8.2 g</t>
  </si>
  <si>
    <t>Vitamin A: 509.7 IU</t>
  </si>
  <si>
    <t>Protein: 20.2 g</t>
  </si>
  <si>
    <t>Vitamin C: 1.88 mg</t>
  </si>
  <si>
    <t>Calcium: 240 mg</t>
  </si>
  <si>
    <t>Sugars: 5.5 g</t>
  </si>
  <si>
    <t>Vitamin D: 0.15 mcg</t>
  </si>
  <si>
    <t>Potassium: 5310 mg</t>
  </si>
  <si>
    <t>Water: 27.8 g</t>
  </si>
  <si>
    <t>3 ounce portion of chicken on a whole wheat bun</t>
  </si>
  <si>
    <t>263 Servings</t>
  </si>
  <si>
    <t>Chicken (precooked)</t>
  </si>
  <si>
    <t>31 1/2 pounds</t>
  </si>
  <si>
    <t>42 pounds</t>
  </si>
  <si>
    <t>54 pounds</t>
  </si>
  <si>
    <t>Cook chicken and set aside.</t>
  </si>
  <si>
    <t xml:space="preserve">Reconstitute onions in an equal amount of hot water. </t>
  </si>
  <si>
    <t>Do not drain.</t>
  </si>
  <si>
    <t xml:space="preserve">Add remaining ingredients and allow to simmer, </t>
  </si>
  <si>
    <t>Dehydrated Onions</t>
  </si>
  <si>
    <t>1/4 cup + 3 Tbsp</t>
  </si>
  <si>
    <t>uncovered, 20-30 minutes.</t>
  </si>
  <si>
    <t>Hold for hot service at 135°F or higher.</t>
  </si>
  <si>
    <t>Water (hot)</t>
  </si>
  <si>
    <t>NOTE:</t>
  </si>
  <si>
    <t>Remove liquid from chicken.</t>
  </si>
  <si>
    <t xml:space="preserve">If using raw chicken, add 2 tsp salt and </t>
  </si>
  <si>
    <t>3 1/3 cups</t>
  </si>
  <si>
    <t>1/4 cup apple cider vinegar.</t>
  </si>
  <si>
    <t>Honey</t>
  </si>
  <si>
    <t>9 cups</t>
  </si>
  <si>
    <t>2 5/8 Tbsp</t>
  </si>
  <si>
    <t>Yellow Mustard</t>
  </si>
  <si>
    <t>Worcestershire Sauce</t>
  </si>
  <si>
    <t>12 1/3 cups</t>
  </si>
  <si>
    <t>2 5/8 tsp</t>
  </si>
  <si>
    <t>3 1/2 tsp</t>
  </si>
  <si>
    <t>4 1/2 tsp</t>
  </si>
  <si>
    <t>White Vinegar</t>
  </si>
  <si>
    <t>2 1/8 cups</t>
  </si>
  <si>
    <t>Smokehouse Grill Seasoning</t>
  </si>
  <si>
    <t>Chipotle Chili</t>
  </si>
  <si>
    <t>Brown Sugar</t>
  </si>
  <si>
    <t>Whole Grain Hamburger Bun</t>
  </si>
  <si>
    <t>263 each</t>
  </si>
  <si>
    <t>Calories: 172</t>
  </si>
  <si>
    <t>Total Fat: 7 g</t>
  </si>
  <si>
    <t>Saturated Fat: 2.7 g</t>
  </si>
  <si>
    <t>Cholesterol: 70 mg</t>
  </si>
  <si>
    <t>Sodium: 204.9 mg</t>
  </si>
  <si>
    <t>Total Carbohydrate: 12 g</t>
  </si>
  <si>
    <t>Dietary Fiber: 0.09 g</t>
  </si>
  <si>
    <t>Iron: 0.6 mg</t>
  </si>
  <si>
    <t>Vitamin A: 217.6 IU</t>
  </si>
  <si>
    <t>Protein: 14.6 g</t>
  </si>
  <si>
    <t>Calcium: 0.2 mg</t>
  </si>
  <si>
    <t>Sugars: 10.6 g</t>
  </si>
  <si>
    <t>Potassium: 42.8 mg</t>
  </si>
  <si>
    <t>Ash: 0.003 g</t>
  </si>
  <si>
    <t>Water: 0.003 g</t>
  </si>
  <si>
    <t>Added Sugars: 0.03 g</t>
  </si>
  <si>
    <t>75 Servings</t>
  </si>
  <si>
    <t>Raw Ground Beef</t>
  </si>
  <si>
    <t>9 1/3 pounds</t>
  </si>
  <si>
    <t>(20% or less fat)</t>
  </si>
  <si>
    <t>Add all remaining ingredients to cooked beef and mix</t>
  </si>
  <si>
    <t>Taco Seasoning</t>
  </si>
  <si>
    <t>1 cup + 2 1/2 Tbsp</t>
  </si>
  <si>
    <t>well.</t>
  </si>
  <si>
    <t>Spoodle 4 ounces of mixture into tortillas.</t>
  </si>
  <si>
    <t>11 1/2 pounds</t>
  </si>
  <si>
    <t>15 pounds</t>
  </si>
  <si>
    <t xml:space="preserve">Bake at 350° F until 165° F internal temperature </t>
  </si>
  <si>
    <t>achieved for 12 seconds.</t>
  </si>
  <si>
    <t>Cheese</t>
  </si>
  <si>
    <t>9 1/3 cups</t>
  </si>
  <si>
    <t>Green Chiles</t>
  </si>
  <si>
    <t>Corn Salsa (Recipe 221)</t>
  </si>
  <si>
    <t>1/2 gallon</t>
  </si>
  <si>
    <t>1 1/6 gallon</t>
  </si>
  <si>
    <t>1 1/2 gallon</t>
  </si>
  <si>
    <t>10" Tortillas</t>
  </si>
  <si>
    <t>75 each</t>
  </si>
  <si>
    <t>Rice (cooked)</t>
  </si>
  <si>
    <t>1/3 gallon</t>
  </si>
  <si>
    <t>Starchy Vegetable</t>
  </si>
  <si>
    <t>Calories: 954.5</t>
  </si>
  <si>
    <t>Total Fat: 15.8 g</t>
  </si>
  <si>
    <t>Saturated Fat: 4.2 g</t>
  </si>
  <si>
    <t>Cholesterol: 22 mg</t>
  </si>
  <si>
    <t>Sodium: 1123.7 mg</t>
  </si>
  <si>
    <t>Total Carbohydrate: 176.7 g</t>
  </si>
  <si>
    <t>Dietary Fiber: 16.3 g</t>
  </si>
  <si>
    <t>Iron: 10.4 mg</t>
  </si>
  <si>
    <t>Vitamin A: 3553 IU</t>
  </si>
  <si>
    <t>Protein: 30 g</t>
  </si>
  <si>
    <t>Vitamin C: 150 mg</t>
  </si>
  <si>
    <t>Calcium: 343 mg</t>
  </si>
  <si>
    <t>Sugars: 10.5 g</t>
  </si>
  <si>
    <t>Vitamin D: 0.09 mcg</t>
  </si>
  <si>
    <t>Potassium: 1369 mg</t>
  </si>
  <si>
    <t>Water: 35 g</t>
  </si>
  <si>
    <t>Trans Fat: 0.23 g</t>
  </si>
  <si>
    <t>8 ounces (1 cup)</t>
  </si>
  <si>
    <t>9 lbs 3 oz</t>
  </si>
  <si>
    <t>11 3/4 lbs</t>
  </si>
  <si>
    <t>13 1/8 lbs</t>
  </si>
  <si>
    <t xml:space="preserve">Add pinto beans, onions, granulated garlic, pepper, </t>
  </si>
  <si>
    <r>
      <t xml:space="preserve">Pinto Beans (can) </t>
    </r>
    <r>
      <rPr>
        <i/>
        <sz val="11"/>
        <color rgb="FFC00000"/>
        <rFont val="Arial"/>
        <family val="2"/>
      </rPr>
      <t>or</t>
    </r>
  </si>
  <si>
    <t>20 lbs 5 1/2 oz</t>
  </si>
  <si>
    <t>26 1/8 lbs</t>
  </si>
  <si>
    <t>29 lbs</t>
  </si>
  <si>
    <t xml:space="preserve">tomato paste, tomatoes, water, and seasonings. </t>
  </si>
  <si>
    <t>Pinto Beans (dry)</t>
  </si>
  <si>
    <t xml:space="preserve">Blend well. Bring to boil. Reduce heat and simmer </t>
  </si>
  <si>
    <r>
      <t>Onions (</t>
    </r>
    <r>
      <rPr>
        <b/>
        <i/>
        <sz val="11"/>
        <color theme="1"/>
        <rFont val="Arial"/>
        <family val="2"/>
      </rPr>
      <t>Fresh</t>
    </r>
    <r>
      <rPr>
        <sz val="11"/>
        <color theme="1"/>
        <rFont val="Arial"/>
        <family val="2"/>
      </rPr>
      <t xml:space="preserve">) </t>
    </r>
    <r>
      <rPr>
        <i/>
        <sz val="11"/>
        <color rgb="FFC00000"/>
        <rFont val="Arial"/>
        <family val="2"/>
      </rPr>
      <t>or</t>
    </r>
  </si>
  <si>
    <t>3 lbs</t>
  </si>
  <si>
    <t>3 3/4 lbs</t>
  </si>
  <si>
    <t>4 1/4 lbs</t>
  </si>
  <si>
    <t>for 20-25 minutes.</t>
  </si>
  <si>
    <r>
      <rPr>
        <b/>
        <i/>
        <sz val="11"/>
        <color theme="1"/>
        <rFont val="Arial"/>
        <family val="2"/>
      </rPr>
      <t>Dehydrated</t>
    </r>
    <r>
      <rPr>
        <sz val="11"/>
        <color theme="1"/>
        <rFont val="Arial"/>
        <family val="2"/>
      </rPr>
      <t xml:space="preserve"> Onions</t>
    </r>
  </si>
  <si>
    <t>4 1/4 cups + 2 Tbsp</t>
  </si>
  <si>
    <t>CCP: Heat to 155° F for at least 15 seconds.</t>
  </si>
  <si>
    <t xml:space="preserve">Ground beef/bean mixture may be prepared ahead </t>
  </si>
  <si>
    <t>and refrigerated overnight.</t>
  </si>
  <si>
    <t xml:space="preserve">CCP: Cool to 70° F within 2 hours and from 70° F to </t>
  </si>
  <si>
    <t>41° F or lower within an additional 4 hours.</t>
  </si>
  <si>
    <t>6 lbs 2 oz</t>
  </si>
  <si>
    <t>8 3/4 lbs</t>
  </si>
  <si>
    <t xml:space="preserve">Pour 7 pounds 13 ounces (3 quarts 2 cups) mixture </t>
  </si>
  <si>
    <t xml:space="preserve">into each steamtable pan (12" x 20" x 2 1/2") about </t>
  </si>
  <si>
    <t>Diced Tomatoes (can)</t>
  </si>
  <si>
    <t>11 lbs 2 1/2 oz</t>
  </si>
  <si>
    <t>14 1/3 lbs</t>
  </si>
  <si>
    <t>25 servings per pan.</t>
  </si>
  <si>
    <t>with Juice</t>
  </si>
  <si>
    <r>
      <rPr>
        <b/>
        <i/>
        <sz val="10"/>
        <color theme="1"/>
        <rFont val="Arial"/>
        <family val="2"/>
      </rPr>
      <t>For cornbread topping</t>
    </r>
    <r>
      <rPr>
        <sz val="10"/>
        <color theme="1"/>
        <rFont val="Arial"/>
        <family val="2"/>
      </rPr>
      <t xml:space="preserve">: Blend flour, cornmeal, </t>
    </r>
  </si>
  <si>
    <t>5 1/2 qts</t>
  </si>
  <si>
    <t>6 1/4 qts</t>
  </si>
  <si>
    <t xml:space="preserve">sugar, baking powder, and salt in mixer for 1 minute </t>
  </si>
  <si>
    <t>on low speed.</t>
  </si>
  <si>
    <t>3/4 cup + 2 Tbsp</t>
  </si>
  <si>
    <t>1 1/8 cup</t>
  </si>
  <si>
    <t xml:space="preserve">In a separate bowl, mix eggs, milk, and oil. Add to dry </t>
  </si>
  <si>
    <t xml:space="preserve">ingredients. Blend 2-3 minutes on medium speed until </t>
  </si>
  <si>
    <t>dry ingredients are moistened. Batter will be lumpy.</t>
  </si>
  <si>
    <t xml:space="preserve">Pour 2 pounds 5 ounces (1 quart 1/2 cup) batter over </t>
  </si>
  <si>
    <t xml:space="preserve">meat mixture in each pan and spread into corners of </t>
  </si>
  <si>
    <t>pan.</t>
  </si>
  <si>
    <t>Bake:</t>
  </si>
  <si>
    <t>Conventional Oven: 400° F for 30-35 min.</t>
  </si>
  <si>
    <t>Convection Oven: 350° F for 25-30 min.</t>
  </si>
  <si>
    <t>3 1/2 lbs</t>
  </si>
  <si>
    <t>4 1/2 lbs</t>
  </si>
  <si>
    <t>5 lbs</t>
  </si>
  <si>
    <t>CCP: Heat to 165° F or higher for at least 15 seconds.</t>
  </si>
  <si>
    <t>Sprinkle 3 1/4 cups of cheese over cornbread in each</t>
  </si>
  <si>
    <t>Cut each pan 5x5 (25 portions per pan).</t>
  </si>
  <si>
    <t xml:space="preserve">Garnish with taco sauce, cheese, lettuce, and </t>
  </si>
  <si>
    <t>Baking Powder</t>
  </si>
  <si>
    <t>tomato (optional).</t>
  </si>
  <si>
    <t>3 1/4 tsp</t>
  </si>
  <si>
    <r>
      <t xml:space="preserve">Eggs (frozen-thawed) </t>
    </r>
    <r>
      <rPr>
        <sz val="11"/>
        <color rgb="FFFF0000"/>
        <rFont val="Arial"/>
        <family val="2"/>
      </rPr>
      <t>or</t>
    </r>
  </si>
  <si>
    <t>2 1/2 cups + 2 Tbsp</t>
  </si>
  <si>
    <t>Eggs (fresh-large)</t>
  </si>
  <si>
    <t>15 each</t>
  </si>
  <si>
    <t>17 each</t>
  </si>
  <si>
    <t>Nonfat Dry Milk</t>
  </si>
  <si>
    <t>3 qts 1 cup</t>
  </si>
  <si>
    <t>4 qts</t>
  </si>
  <si>
    <t>4 1/2 qts</t>
  </si>
  <si>
    <t>(reconstituted)</t>
  </si>
  <si>
    <t>1 3/4 cup</t>
  </si>
  <si>
    <t>Cheddar Cheese</t>
  </si>
  <si>
    <t>5 1/2 lbs + 11 oz</t>
  </si>
  <si>
    <t>8 lbs</t>
  </si>
  <si>
    <t>Calories: 268</t>
  </si>
  <si>
    <t>Total Fat: 9.23 g</t>
  </si>
  <si>
    <t>Cholesterol: 39 mg</t>
  </si>
  <si>
    <t>Sodium: 630 mg</t>
  </si>
  <si>
    <t>Carbohydrate: 31.51 g</t>
  </si>
  <si>
    <t>Dietary Fiber: 4.2 g</t>
  </si>
  <si>
    <t>Protein: 15.95 g</t>
  </si>
  <si>
    <t>Calcium: 247 mg</t>
  </si>
  <si>
    <t>Iron: 3.26 mg</t>
  </si>
  <si>
    <t>Vitamin A: 1,009 IU</t>
  </si>
  <si>
    <t>Vitamin C: 12.3 mg</t>
  </si>
  <si>
    <t>1/2 cup Beef Mix, 1 cup Rice, 1/2 cup Salsa</t>
  </si>
  <si>
    <t>Beef Chuck Roast</t>
  </si>
  <si>
    <t>69 lbs 2 oz</t>
  </si>
  <si>
    <t>88 7/8 lbs</t>
  </si>
  <si>
    <t>98 3/4 lbs</t>
  </si>
  <si>
    <t xml:space="preserve">Trim all silver skin off of beef, season with salt and </t>
  </si>
  <si>
    <t xml:space="preserve">pepper and sear in tilt skillet on all sides. </t>
  </si>
  <si>
    <t xml:space="preserve">Add water until it is halfway up the sides of the meat. </t>
  </si>
  <si>
    <t xml:space="preserve">Will need to add water throughout the cooking </t>
  </si>
  <si>
    <t>4 Tbsp + 1 1/8 tsp</t>
  </si>
  <si>
    <t>5 1/2 Tbsp</t>
  </si>
  <si>
    <t xml:space="preserve">process to make sure water level stays the same. </t>
  </si>
  <si>
    <t xml:space="preserve">Cook for 3 hours or until it falls apart. </t>
  </si>
  <si>
    <t>Chipotle Peppers</t>
  </si>
  <si>
    <t>5 1/4 oz</t>
  </si>
  <si>
    <t>6 3/4 oz</t>
  </si>
  <si>
    <t>7 1/2 oz</t>
  </si>
  <si>
    <t>Shred beef and place in cooking liquid overnight to</t>
  </si>
  <si>
    <t>cool.</t>
  </si>
  <si>
    <t>14 Tbsp</t>
  </si>
  <si>
    <t xml:space="preserve">Drain the liquid, add chipotles (pureed), lime juice, </t>
  </si>
  <si>
    <t xml:space="preserve">green chilies and green chili sauce (thawed). Can </t>
  </si>
  <si>
    <t>Chile Peppers (diced)</t>
  </si>
  <si>
    <t>2 lbs 1 1/4 oz</t>
  </si>
  <si>
    <t>2 1/2 lbs</t>
  </si>
  <si>
    <t>add some cooking liquid back in if it is too dry.</t>
  </si>
  <si>
    <t xml:space="preserve">Season with more salt if needed. </t>
  </si>
  <si>
    <t>Green Chili Sauce</t>
  </si>
  <si>
    <t>7 lbs 5 1/4 oz</t>
  </si>
  <si>
    <t xml:space="preserve">1 pan = 10 lbs or 5 quarts = 40 servings. </t>
  </si>
  <si>
    <t>Black Bean and Corn Salsa Directions</t>
  </si>
  <si>
    <t>Frozen Corn</t>
  </si>
  <si>
    <t>15 lbs 14 3/4 oz</t>
  </si>
  <si>
    <t>20 1/2 lbs</t>
  </si>
  <si>
    <t>22 3/4 lbs</t>
  </si>
  <si>
    <t>Defrost corn.</t>
  </si>
  <si>
    <t xml:space="preserve">Drain black beans. </t>
  </si>
  <si>
    <t>Red Onion</t>
  </si>
  <si>
    <t>2 lbs 6 1/2 oz</t>
  </si>
  <si>
    <t xml:space="preserve">Dice onions and peppers. </t>
  </si>
  <si>
    <t xml:space="preserve">Chop cilantro. </t>
  </si>
  <si>
    <t>6 lbs 14 1/4 oz</t>
  </si>
  <si>
    <t>9 3/4 lbs</t>
  </si>
  <si>
    <t xml:space="preserve">Mix together corn, beans, onion, peppers, cilantro. </t>
  </si>
  <si>
    <t xml:space="preserve">In separate bowl whisk together vinegar, lime juice, </t>
  </si>
  <si>
    <t>Cilantro</t>
  </si>
  <si>
    <t>1 lb 8 1/2 oz</t>
  </si>
  <si>
    <t>2 lbs</t>
  </si>
  <si>
    <t>2 lbs 3 oz</t>
  </si>
  <si>
    <t xml:space="preserve">olive oil, salt, and pepper. </t>
  </si>
  <si>
    <t>Combine all ingredients.</t>
  </si>
  <si>
    <t>30 lbs 1 1/2 oz</t>
  </si>
  <si>
    <t>38 1/2 lbs</t>
  </si>
  <si>
    <t>43 lbs</t>
  </si>
  <si>
    <t>4 ounces of beef mixture or 1/2 cup per serving.</t>
  </si>
  <si>
    <t>Serve over 1 cup of brown rice (recipe 216) and</t>
  </si>
  <si>
    <t>1 Tbsp + 2 1/4 tsp</t>
  </si>
  <si>
    <t xml:space="preserve">with 1/2 cup or 2.8 ounce weight of the Black Beans </t>
  </si>
  <si>
    <t>and Corn Salsa.</t>
  </si>
  <si>
    <t>Olive Oil Canola Blend</t>
  </si>
  <si>
    <t>1 cup + 1 Tbsp</t>
  </si>
  <si>
    <t>1 cup + 12 Tbsp</t>
  </si>
  <si>
    <t>2 1/4 cup</t>
  </si>
  <si>
    <t>38 lbs 2 3/4 oz</t>
  </si>
  <si>
    <t>49 lbs</t>
  </si>
  <si>
    <t>54 1/2 lbs</t>
  </si>
  <si>
    <t>Calories: 390.74</t>
  </si>
  <si>
    <t>Total Fat: 8.04 g</t>
  </si>
  <si>
    <t>Saturated Fat: 2.44 g</t>
  </si>
  <si>
    <t>Cholesterol: 71.11 mg</t>
  </si>
  <si>
    <t>Sodium: 429 mg</t>
  </si>
  <si>
    <t>Carbohydrate: 43.5 g</t>
  </si>
  <si>
    <t>Dietary Fiber: 3.13 g</t>
  </si>
  <si>
    <t>Protein: 34.19 g</t>
  </si>
  <si>
    <t>Calcium: 54.38 mg</t>
  </si>
  <si>
    <t>Iron: 4.57 mg</t>
  </si>
  <si>
    <t>Vitamin A: 264.4 IU</t>
  </si>
  <si>
    <t>Vitamin C: 17.58 mg</t>
  </si>
  <si>
    <t>Whole Wheat Flour</t>
  </si>
  <si>
    <t>10 1/2 cups</t>
  </si>
  <si>
    <t>13 1/2 cups</t>
  </si>
  <si>
    <t>15 cups</t>
  </si>
  <si>
    <t>Cook and drain beef then coat with flour.</t>
  </si>
  <si>
    <t>Add all other ingredients. Let simmer until vegetables</t>
  </si>
  <si>
    <t>Garlic Powder</t>
  </si>
  <si>
    <t>5 1/4 Tbsp</t>
  </si>
  <si>
    <t>6 3/4 Tbsp</t>
  </si>
  <si>
    <t>are done and beef is tender.</t>
  </si>
  <si>
    <t>Pour beef stew into steam table pan (12" x 20" x 4").</t>
  </si>
  <si>
    <t>For 50 servings - 2 pans; 100 servings - 4 pans.</t>
  </si>
  <si>
    <t>21 pounds = 40 - 8 ounce servings</t>
  </si>
  <si>
    <t>Thyme (dried)</t>
  </si>
  <si>
    <t>5 tsp</t>
  </si>
  <si>
    <t>Beef Stew Meat, raw, lean,</t>
  </si>
  <si>
    <t>35 7/8 lbs</t>
  </si>
  <si>
    <t>46 1/8 lbs</t>
  </si>
  <si>
    <t>51 1/4 lbs</t>
  </si>
  <si>
    <t>cubed 1/2"</t>
  </si>
  <si>
    <t>Canola Oil</t>
  </si>
  <si>
    <t>Onions (diced 1/4")</t>
  </si>
  <si>
    <t>Low-Sodium Beef Broth</t>
  </si>
  <si>
    <t>5 1/4 gallons</t>
  </si>
  <si>
    <t>6 3/4 gallons</t>
  </si>
  <si>
    <t>15 gallons</t>
  </si>
  <si>
    <t>Carrots (frozen, sliced)</t>
  </si>
  <si>
    <t>13 1/3 lbs</t>
  </si>
  <si>
    <t>19 1/2 lbs</t>
  </si>
  <si>
    <t>21 7/8 lbs</t>
  </si>
  <si>
    <t>Celery (diced 1/2")</t>
  </si>
  <si>
    <t>5 1/2 lbs</t>
  </si>
  <si>
    <t>8 1/8 lbs</t>
  </si>
  <si>
    <t>Red Potatoes (unpeeled,</t>
  </si>
  <si>
    <t>12 1/4 lbs</t>
  </si>
  <si>
    <t>15 3/4 lbs</t>
  </si>
  <si>
    <t>17 1/2 lbs</t>
  </si>
  <si>
    <t>diced 1")</t>
  </si>
  <si>
    <t>Green Peas (frozen)</t>
  </si>
  <si>
    <t>11 1/3 lbs</t>
  </si>
  <si>
    <t>14 1/2 lbs</t>
  </si>
  <si>
    <t>16 1/4 lbs</t>
  </si>
  <si>
    <t>10 3/4 Tbsp</t>
  </si>
  <si>
    <t>12 Tbsp</t>
  </si>
  <si>
    <t>Green Tabasco Sauce</t>
  </si>
  <si>
    <t>Starchy Vege</t>
  </si>
  <si>
    <t>Calories: 239</t>
  </si>
  <si>
    <t>Saturated Fat: 2 g</t>
  </si>
  <si>
    <t>Cholesterol: 57 mg</t>
  </si>
  <si>
    <t>Sodium: 338.4 mg</t>
  </si>
  <si>
    <t>Carbohydrate: 21 g</t>
  </si>
  <si>
    <t>Calcium: 45 mg</t>
  </si>
  <si>
    <t>Vitamin D: 3 IU</t>
  </si>
  <si>
    <t>Potassium: 461 mg</t>
  </si>
  <si>
    <t>1 Salad</t>
  </si>
  <si>
    <t>Baby Spinach (fresh)</t>
  </si>
  <si>
    <t>14 lbs</t>
  </si>
  <si>
    <t>20 lbs</t>
  </si>
  <si>
    <t>Combine baby spinach, romaine, and carrots, mix well.</t>
  </si>
  <si>
    <t>Portion 2 cups of salad mix into each tray.</t>
  </si>
  <si>
    <t>Romaine Lettuce (chopped)</t>
  </si>
  <si>
    <t>16 1/2 lbs</t>
  </si>
  <si>
    <t>21 lbs</t>
  </si>
  <si>
    <t>23 1/2 lbs</t>
  </si>
  <si>
    <t>Top with 1 egg (sliced or quartered), and/or one (1)</t>
  </si>
  <si>
    <t>sliced Pilgrim's Pride Breaded Chicken Patty.</t>
  </si>
  <si>
    <t>Carrots (grated or</t>
  </si>
  <si>
    <t>9 1/8 lbs</t>
  </si>
  <si>
    <t>Portion 1/2 ounce of the vinaigrette into portion cups</t>
  </si>
  <si>
    <t>matchstick)</t>
  </si>
  <si>
    <t>and serve alongside the salad OR toss with greens</t>
  </si>
  <si>
    <t>Eggs (large, hard cooked,</t>
  </si>
  <si>
    <t>just prior to service.</t>
  </si>
  <si>
    <t>quartered or sliced) and/or</t>
  </si>
  <si>
    <r>
      <t>Hold and serve at 41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 or below.</t>
    </r>
  </si>
  <si>
    <t>Pilgrim's Pride Breaded</t>
  </si>
  <si>
    <t>For the vinaigrette dressing:</t>
  </si>
  <si>
    <t>Chicken Patty</t>
  </si>
  <si>
    <t>Combine vinegar, honey, mustard, and salt in a mixing</t>
  </si>
  <si>
    <t>Red Wine Vinegar</t>
  </si>
  <si>
    <t>bowl. If using immersion blender, place ingredients in</t>
  </si>
  <si>
    <t>a tall container.</t>
  </si>
  <si>
    <t>Whisk until well blended.</t>
  </si>
  <si>
    <t>Slowly add the vegetable oil while whisking and whisk</t>
  </si>
  <si>
    <t>Dijon Mustard</t>
  </si>
  <si>
    <t>until well combined.</t>
  </si>
  <si>
    <r>
      <t>CCP: Hold at 41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 or below during service.</t>
    </r>
  </si>
  <si>
    <t>2 1/4 tsp</t>
  </si>
  <si>
    <t>Notes: Pre-washed, pre-cut leafy greens should not</t>
  </si>
  <si>
    <t>be re-washed.</t>
  </si>
  <si>
    <t>10 cups</t>
  </si>
  <si>
    <t>3 w/egg &amp; chicken</t>
  </si>
  <si>
    <t>1 w/chicken</t>
  </si>
  <si>
    <t>Calories: 406</t>
  </si>
  <si>
    <t>Total Fat: 23 g</t>
  </si>
  <si>
    <t>Saturated Fat: 4 g</t>
  </si>
  <si>
    <t>Cholesterol: 269 mg</t>
  </si>
  <si>
    <t>Sodium: 798 mg</t>
  </si>
  <si>
    <t>Total Carbohydrate: 23.6 g</t>
  </si>
  <si>
    <t>Dietary Fiber: 4.3 g</t>
  </si>
  <si>
    <t>Iron: 3.6 mg</t>
  </si>
  <si>
    <t>Vitamin A: 9318 IU</t>
  </si>
  <si>
    <t>Vitamin C: 23 mg</t>
  </si>
  <si>
    <t>Calcium: 109.8 mg</t>
  </si>
  <si>
    <t>Sugars: 4.7 g</t>
  </si>
  <si>
    <t>Vitamin D: 1.2 mcg</t>
  </si>
  <si>
    <t>Potassium: 391 mg</t>
  </si>
  <si>
    <t>Ash: 1.5 g</t>
  </si>
  <si>
    <t>Water: 119 g</t>
  </si>
  <si>
    <t>Added Sugars: 0.2 g</t>
  </si>
  <si>
    <t>Two 2-ounce Sliders</t>
  </si>
  <si>
    <t>33 lbs</t>
  </si>
  <si>
    <t>42 lbs</t>
  </si>
  <si>
    <t>47 lbs</t>
  </si>
  <si>
    <t>If using raw chicken, cook and drain chicken (account</t>
  </si>
  <si>
    <t>for shrinkage factor of ≈ 25%).</t>
  </si>
  <si>
    <t>1/4 tsp</t>
  </si>
  <si>
    <t>1/3 tsp</t>
  </si>
  <si>
    <t>Chop pepperoncini's if not already prechopped.</t>
  </si>
  <si>
    <t>Drain and crumble feta if not purchased crumbled.</t>
  </si>
  <si>
    <t>Hot Sauce</t>
  </si>
  <si>
    <t>1 lb 12 1/3 oz</t>
  </si>
  <si>
    <t>2 1/4 lbs</t>
  </si>
  <si>
    <t>Mix all ingredients.</t>
  </si>
  <si>
    <t>Put in hotel pan.</t>
  </si>
  <si>
    <t>Apple Cider Vinegar</t>
  </si>
  <si>
    <t>7 Tbsp + 1 tsp</t>
  </si>
  <si>
    <t>10 1/2 Tbsp</t>
  </si>
  <si>
    <t>1 hotel pan = 53 (4 oz.) servings.</t>
  </si>
  <si>
    <t>Pepperoncini (chopped)</t>
  </si>
  <si>
    <t>2 lbs 11 oz</t>
  </si>
  <si>
    <t>Reheat at 350° for 15 - 20 minutes or until 165°.</t>
  </si>
  <si>
    <t xml:space="preserve">Put 2 ounces or 1/4 cup chicken mixture on slider bun.  </t>
  </si>
  <si>
    <t>Feta Cheese (drained,</t>
  </si>
  <si>
    <t>3 1/4 lbs</t>
  </si>
  <si>
    <t>Serving = 2 sliders (2 oz each).</t>
  </si>
  <si>
    <t>crumbled)</t>
  </si>
  <si>
    <t>15 pounds = 60 - 4 ounce servings</t>
  </si>
  <si>
    <t>Slicer Buns</t>
  </si>
  <si>
    <t>Calories: 347.36</t>
  </si>
  <si>
    <t>Total Fat: 9.64 g</t>
  </si>
  <si>
    <t>Saturated Fat: 2.19 g</t>
  </si>
  <si>
    <t>Cholesterol: 134.5 mg</t>
  </si>
  <si>
    <t>Sodium: 1,362 mg</t>
  </si>
  <si>
    <t>Carbohydrate: 35.8 g</t>
  </si>
  <si>
    <t>Dietary Fiber: 4.1 g</t>
  </si>
  <si>
    <t>Protein: 27.43 g</t>
  </si>
  <si>
    <t>Iron: 1.34 mg</t>
  </si>
  <si>
    <t>Vitamin A: 164.18 IU</t>
  </si>
  <si>
    <t>Vitamin C: 2.83 mg</t>
  </si>
  <si>
    <t>6 ounces (3/4 cup)</t>
  </si>
  <si>
    <t>Onion (diced)</t>
  </si>
  <si>
    <t xml:space="preserve">Heat olive oil over medium heat. Add onions and </t>
  </si>
  <si>
    <t>garlic. Sauté for 5 minutes.</t>
  </si>
  <si>
    <t>Add jalapeno peppers and cook for 3 additional min.</t>
  </si>
  <si>
    <t>Add the cumin, oregano, chili powder, coriander,</t>
  </si>
  <si>
    <t>Jalapeno Pepper (seeded,</t>
  </si>
  <si>
    <t>1 lb</t>
  </si>
  <si>
    <t>1 1/3 lbs</t>
  </si>
  <si>
    <t>1 1/2 lbs</t>
  </si>
  <si>
    <t>cloves, and cayenne. Sauté for 2 more minutes.</t>
  </si>
  <si>
    <t>Add the chicken broth and pinto beans. Bring to a boil</t>
  </si>
  <si>
    <t>Cumin (ground)</t>
  </si>
  <si>
    <r>
      <t xml:space="preserve">and reduce to a simmer for </t>
    </r>
    <r>
      <rPr>
        <sz val="10"/>
        <color theme="1"/>
        <rFont val="Calibri"/>
        <family val="2"/>
      </rPr>
      <t>≈</t>
    </r>
    <r>
      <rPr>
        <sz val="10"/>
        <color theme="1"/>
        <rFont val="Arial"/>
        <family val="2"/>
      </rPr>
      <t xml:space="preserve"> 20 minutes. Keep</t>
    </r>
  </si>
  <si>
    <t>covered to reduce loss of liquid.</t>
  </si>
  <si>
    <t>Oregano (flakes)</t>
  </si>
  <si>
    <t>1/2 cup + 2 3/4 Tbsp</t>
  </si>
  <si>
    <t>Add the cooked chicken and bring to a boil. Cook for</t>
  </si>
  <si>
    <t>5 additional minutes.</t>
  </si>
  <si>
    <r>
      <t>CCP: Cook until internal temperature reaches 135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</t>
    </r>
  </si>
  <si>
    <r>
      <t>or above. Hold and serve at or above 135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F.</t>
    </r>
  </si>
  <si>
    <t>Coriander (ground)</t>
  </si>
  <si>
    <t>At serving time, add lemon or lime juice.</t>
  </si>
  <si>
    <t>Serve using 6 ounce spoodle or 6 ounce ladle.</t>
  </si>
  <si>
    <t>Note: Juice can be portioned using a squeeze bottle</t>
  </si>
  <si>
    <t>by students.</t>
  </si>
  <si>
    <t>Cayenne Pepper</t>
  </si>
  <si>
    <t>1 Cup Chicken Paste makes 3 gallons of broth.</t>
  </si>
  <si>
    <t>Chicken Broth (low-sodium)</t>
  </si>
  <si>
    <t>4 gallons</t>
  </si>
  <si>
    <t>5 1/3 gallons</t>
  </si>
  <si>
    <t>6 gallons</t>
  </si>
  <si>
    <t>1 container of Chicken Paste makes 4 1/2 gallons of broth.</t>
  </si>
  <si>
    <t>Pinto Beans (low-sodium,</t>
  </si>
  <si>
    <t>drained, rinsed)</t>
  </si>
  <si>
    <t>Chicken (cooked, diced)</t>
  </si>
  <si>
    <t>22 1/3 lbs</t>
  </si>
  <si>
    <t>23 3/4 lbs</t>
  </si>
  <si>
    <t>Lemon or Lime Juice</t>
  </si>
  <si>
    <t>1 cup + 2 3/4 Tbsp</t>
  </si>
  <si>
    <t>1 1/3 cup</t>
  </si>
  <si>
    <t>Calories: 121</t>
  </si>
  <si>
    <t>Total Fat: 3.6 g</t>
  </si>
  <si>
    <t>Saturated Fat: 0.6 g</t>
  </si>
  <si>
    <t>Cholesterol: 27 mg</t>
  </si>
  <si>
    <t>Sodium: 159 mg</t>
  </si>
  <si>
    <t>Carbohydrate: 12.7 g</t>
  </si>
  <si>
    <t>Protein: 12.4 g</t>
  </si>
  <si>
    <t>Calcium: 40.4 mg</t>
  </si>
  <si>
    <t>Vitamin A: 147.2 IU</t>
  </si>
  <si>
    <t>Vitamin C: 5 mg</t>
  </si>
  <si>
    <t>Chicken (cut in strips)</t>
  </si>
  <si>
    <t>25 lbs</t>
  </si>
  <si>
    <t>32 lbs</t>
  </si>
  <si>
    <t>35 3/4 lbs</t>
  </si>
  <si>
    <t>Sauté chicken, garlic, and ginger in sesame oil and</t>
  </si>
  <si>
    <r>
      <t>soy sauce until well coated and reaches 165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F.</t>
    </r>
  </si>
  <si>
    <t>Garlic Cloves (minced)</t>
  </si>
  <si>
    <t>21 each</t>
  </si>
  <si>
    <t>Add in eggs and scramble.</t>
  </si>
  <si>
    <t>Add in vegetables and sauté until soft.</t>
  </si>
  <si>
    <t>Ginger (fresh, peeled,</t>
  </si>
  <si>
    <t>4 oz</t>
  </si>
  <si>
    <t>5 3/4 oz</t>
  </si>
  <si>
    <t>Add in rice and mix well.</t>
  </si>
  <si>
    <t>minced)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</si>
  <si>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Use 8 gallons water for every 3 gallons rice.</t>
    </r>
  </si>
  <si>
    <t>Sesame Oil</t>
  </si>
  <si>
    <t>1/2 cup + 2 1/4 Tbsp</t>
  </si>
  <si>
    <t>1 1/2 cup</t>
  </si>
  <si>
    <r>
      <t xml:space="preserve">Frozen Whole Eggs (thawed) </t>
    </r>
    <r>
      <rPr>
        <sz val="10"/>
        <color rgb="FFFF0000"/>
        <rFont val="Arial"/>
        <family val="2"/>
      </rPr>
      <t>or</t>
    </r>
  </si>
  <si>
    <t>4 qts + 2 1/2 cups</t>
  </si>
  <si>
    <t>6 qts</t>
  </si>
  <si>
    <t>6 1/2 qts</t>
  </si>
  <si>
    <t>Fresh Large Eggs</t>
  </si>
  <si>
    <t>91 each</t>
  </si>
  <si>
    <t>117 each</t>
  </si>
  <si>
    <t>130 each</t>
  </si>
  <si>
    <t>Carrots (fresh, diced)</t>
  </si>
  <si>
    <t>2 3/4 lbs</t>
  </si>
  <si>
    <t>Peas (frozen or fresh)</t>
  </si>
  <si>
    <t>Onions (fresh, diced)</t>
  </si>
  <si>
    <t>1 3/4 lbs</t>
  </si>
  <si>
    <t>41 lbs 5 1/2 oz</t>
  </si>
  <si>
    <t>53 lbs</t>
  </si>
  <si>
    <t>59 lbs</t>
  </si>
  <si>
    <t>Calories: 184</t>
  </si>
  <si>
    <t>Total Fat: 3.95 g</t>
  </si>
  <si>
    <t>Saturated Fat: 1.02 g</t>
  </si>
  <si>
    <t>Cholesterol: 108 mg</t>
  </si>
  <si>
    <t>Sodium: 409 mg</t>
  </si>
  <si>
    <t>Carbohydrate: 29.38 g</t>
  </si>
  <si>
    <t>Protein: 6.73 g</t>
  </si>
  <si>
    <t>Calcium: 29 mg</t>
  </si>
  <si>
    <t>Iron: 1.83 mg</t>
  </si>
  <si>
    <t>Vitamin A: 1,873 IU</t>
  </si>
  <si>
    <t>Vitamin C: 1.5 mg</t>
  </si>
  <si>
    <t>Grilled Chicken Patty Sandwich (Pinnacle Charter School)</t>
  </si>
  <si>
    <t>Calories: 220 kcal</t>
  </si>
  <si>
    <t>Total Fat: 6.5 g</t>
  </si>
  <si>
    <t>Cholesterol: 50 mg</t>
  </si>
  <si>
    <t>Sodium: 390 mg</t>
  </si>
  <si>
    <t>Carbohydrate: 25 g</t>
  </si>
  <si>
    <t>Sugars: 2 g</t>
  </si>
  <si>
    <t>Protein: 17 g</t>
  </si>
  <si>
    <t>Calcium: 60 mg</t>
  </si>
  <si>
    <t>Iron: 1.8 mg</t>
  </si>
  <si>
    <t>Chicken Pot Pie Soup (Parents Mag &amp; USDA)</t>
  </si>
  <si>
    <t>110 Servings</t>
  </si>
  <si>
    <t xml:space="preserve">Preheat oven to 350° F. Coat steamtable pans with </t>
  </si>
  <si>
    <t>nonstick cooking spray.</t>
  </si>
  <si>
    <t xml:space="preserve">In tilt skillet, cook onion and celery for 3 minutes in </t>
  </si>
  <si>
    <t>olive oil. Stir in garlic and flour and cook, stirring</t>
  </si>
  <si>
    <t>constantly for 1 minute. Gradually stir in broth, chicken</t>
  </si>
  <si>
    <t>paste &amp; milk. Cook, stirring until mixture comes to boil.</t>
  </si>
  <si>
    <t>Chicken Breasts (boneless,</t>
  </si>
  <si>
    <t>19 1/2 pounds</t>
  </si>
  <si>
    <t>39 3/4 pounds</t>
  </si>
  <si>
    <t xml:space="preserve">Add potatoes, carrots, green beans, salt and pepper. </t>
  </si>
  <si>
    <t>skinless, diced)</t>
  </si>
  <si>
    <t xml:space="preserve">Cover, cook on medium-low, stirring occasionally for </t>
  </si>
  <si>
    <t>Onion (chopped)</t>
  </si>
  <si>
    <t>5 1/2 pounds</t>
  </si>
  <si>
    <t>8 3/4 pounds</t>
  </si>
  <si>
    <t>11 1/4 pounds</t>
  </si>
  <si>
    <t xml:space="preserve">about 10 minutes. Stir in chicken, parsley, and sage. </t>
  </si>
  <si>
    <t>Pour into steamtable pans.</t>
  </si>
  <si>
    <t>Celery (chopped)</t>
  </si>
  <si>
    <t>1 1/4 pounds</t>
  </si>
  <si>
    <t xml:space="preserve">Place steamtable pans on speed rack tray and back </t>
  </si>
  <si>
    <t>for 35-40 minutes or until filling is bubbly.</t>
  </si>
  <si>
    <t>Garlic Cloves (finely</t>
  </si>
  <si>
    <t>22 each</t>
  </si>
  <si>
    <t>35 each</t>
  </si>
  <si>
    <t>45 each</t>
  </si>
  <si>
    <t>Let stand for 10 minutes prior to serving.</t>
  </si>
  <si>
    <t>5 3/4 cups + 1 1/4 Tbsp</t>
  </si>
  <si>
    <t>Chicken Broth (fat free)</t>
  </si>
  <si>
    <t>3 gallons</t>
  </si>
  <si>
    <t>3 3/4 gallons</t>
  </si>
  <si>
    <t>1% Low-fat Milk</t>
  </si>
  <si>
    <t>1 1/4 gallons</t>
  </si>
  <si>
    <t>2 gallons + 1/2 qt</t>
  </si>
  <si>
    <t>Potatoes (chopped)</t>
  </si>
  <si>
    <t>Carrots (chopped)</t>
  </si>
  <si>
    <t>10 1/2 pounds</t>
  </si>
  <si>
    <t>13 1/2 pounds</t>
  </si>
  <si>
    <t>Green Beans (chopped)</t>
  </si>
  <si>
    <t>Parsley (chopped)</t>
  </si>
  <si>
    <t>2 cups + 3 Tbsp</t>
  </si>
  <si>
    <t>Rubbed Sage</t>
  </si>
  <si>
    <t>6 Tbsp + 1 3/4 tsp</t>
  </si>
  <si>
    <t>Curry Powder</t>
  </si>
  <si>
    <t>Chicken Paste</t>
  </si>
  <si>
    <t>1/2 Tbsp</t>
  </si>
  <si>
    <t>Total Fat: 8 g</t>
  </si>
  <si>
    <t>Cholesterol: 75 mg</t>
  </si>
  <si>
    <t>Sodium: 711 mg</t>
  </si>
  <si>
    <t>Carbohydrate: 32 g</t>
  </si>
  <si>
    <t>Protein: 35 g</t>
  </si>
  <si>
    <t>Calcium: 98 mg</t>
  </si>
  <si>
    <t>Iron: 0 mg</t>
  </si>
  <si>
    <t>1 Tortilla (1/2 moon)</t>
  </si>
  <si>
    <t>8" Flour Tortilla (soft)</t>
  </si>
  <si>
    <t>Cook chicken with lime juice; drain.</t>
  </si>
  <si>
    <t xml:space="preserve">Line sheet pans (18" x 26" x 1") with parchment paper. </t>
  </si>
  <si>
    <t>Chicken (cooked, drained)</t>
  </si>
  <si>
    <t>9 lbs</t>
  </si>
  <si>
    <t>11 1/2 lbs</t>
  </si>
  <si>
    <t>15 1/2 lbs</t>
  </si>
  <si>
    <t>Place tortillas side by side on each pan. Set aside.</t>
  </si>
  <si>
    <t>Combine peppers, onions, green chilis, and</t>
  </si>
  <si>
    <t>Green Peppers (fresh,</t>
  </si>
  <si>
    <t>mushrooms. Heat on medium heat for 5 minutes.</t>
  </si>
  <si>
    <t>1/4 sliced)</t>
  </si>
  <si>
    <t>Add chili powder, cumin, onion powder, red pepper</t>
  </si>
  <si>
    <t>Onions (fresh, 1/4 sliced)</t>
  </si>
  <si>
    <t>flakes, and salt to vegetable mixture.</t>
  </si>
  <si>
    <t>Add chicken to vegetable mixture.</t>
  </si>
  <si>
    <t xml:space="preserve">Sprinkle each tortilla with 1/2 ounce of Monterey Jack </t>
  </si>
  <si>
    <t>cheese.</t>
  </si>
  <si>
    <t xml:space="preserve">Spoon 1 ounce of chicken/vegetable mixture onto </t>
  </si>
  <si>
    <t>each tortilla.</t>
  </si>
  <si>
    <t xml:space="preserve">Sprinkle each tortilla with 2 ounces of Cheddar </t>
  </si>
  <si>
    <t>Fold tortillas in half into 1/2 moon shape.</t>
  </si>
  <si>
    <t>Bake until tops are golden brown:</t>
  </si>
  <si>
    <t>4 7/8 lbs</t>
  </si>
  <si>
    <t>6 1/2 lbs</t>
  </si>
  <si>
    <r>
      <rPr>
        <b/>
        <sz val="10"/>
        <color theme="1"/>
        <rFont val="Arial"/>
        <family val="2"/>
      </rPr>
      <t>Conventional Oven</t>
    </r>
    <r>
      <rPr>
        <sz val="10"/>
        <color theme="1"/>
        <rFont val="Arial"/>
        <family val="2"/>
      </rPr>
      <t>: 400° F for 10 minutes.</t>
    </r>
  </si>
  <si>
    <r>
      <rPr>
        <b/>
        <sz val="10"/>
        <color theme="1"/>
        <rFont val="Arial"/>
        <family val="2"/>
      </rPr>
      <t>Convection Oven</t>
    </r>
    <r>
      <rPr>
        <sz val="10"/>
        <color theme="1"/>
        <rFont val="Arial"/>
        <family val="2"/>
      </rPr>
      <t>: 375° F for 7 minutes.</t>
    </r>
  </si>
  <si>
    <t>Allow quesadilla to stand for 5 minutes.</t>
  </si>
  <si>
    <t>Serve with salsa, and/or lettuce.</t>
  </si>
  <si>
    <t>Green Chilis (chopped)</t>
  </si>
  <si>
    <t>61 each</t>
  </si>
  <si>
    <t>79 each</t>
  </si>
  <si>
    <t>105 each</t>
  </si>
  <si>
    <t>Mushrooms (sliced)</t>
  </si>
  <si>
    <t>122 each</t>
  </si>
  <si>
    <t>157 each</t>
  </si>
  <si>
    <t>209 each</t>
  </si>
  <si>
    <t>Calories: 250</t>
  </si>
  <si>
    <t>Saturated Fat: 4.9 g</t>
  </si>
  <si>
    <t>Cholesterol: 35.8 mg</t>
  </si>
  <si>
    <t>Sodium: 426.9 mg</t>
  </si>
  <si>
    <t>Total Carbohydrate: 24.5 g</t>
  </si>
  <si>
    <t>Dietary Fiber: 2.7 g</t>
  </si>
  <si>
    <t>Iron: 1.7 mg</t>
  </si>
  <si>
    <t>Vitamin A: 596 IU</t>
  </si>
  <si>
    <t>Vitamin C: 7 mg</t>
  </si>
  <si>
    <t>Calcium: 205.9 mg</t>
  </si>
  <si>
    <t>Sugars: 0.7 g</t>
  </si>
  <si>
    <t>Vitamin D: 0.14 mcg</t>
  </si>
  <si>
    <t>Potassium: 129 mg</t>
  </si>
  <si>
    <t>Ash: 0.05 g</t>
  </si>
  <si>
    <t>Water: 12 g</t>
  </si>
  <si>
    <t>4 ounces chicken over 6 ounces rice</t>
  </si>
  <si>
    <t>Mix together brown sugar, honey, soy sauce, ginger,</t>
  </si>
  <si>
    <t>garlic, hot sauce, red chili sauce, onions, and bell</t>
  </si>
  <si>
    <t>5 1/3 cups</t>
  </si>
  <si>
    <t>8 1/4 cups</t>
  </si>
  <si>
    <t>peppers in a bowl.</t>
  </si>
  <si>
    <t>Lightly salt and pepper chicken strips.</t>
  </si>
  <si>
    <t>10 2/3 cups</t>
  </si>
  <si>
    <t>16 1/2 cups</t>
  </si>
  <si>
    <t>18 cups</t>
  </si>
  <si>
    <t>Heat oil in tilt skillet, medium heat. Add chicken</t>
  </si>
  <si>
    <t>strips and brown on both sides, about 1 minute per</t>
  </si>
  <si>
    <t>Ginger Root (fresh, chopped)</t>
  </si>
  <si>
    <t>side. Pour the sauce over the chicken. Simmer</t>
  </si>
  <si>
    <t>uncovered until the sauce thickens, 8 to 10 minutes.</t>
  </si>
  <si>
    <t>Garlic (chopped)</t>
  </si>
  <si>
    <t>Can dredge the chicken in flour then brown.</t>
  </si>
  <si>
    <t>Cholula Hot Sauce</t>
  </si>
  <si>
    <t>* Axis (elementary) serving = 3 ounces</t>
  </si>
  <si>
    <t>* MS and HS serving = 4 ounces</t>
  </si>
  <si>
    <t>Salt and Pepper</t>
  </si>
  <si>
    <t>Chicken Breast Halves (cut 1/2"</t>
  </si>
  <si>
    <t>35 lbs (cooked)</t>
  </si>
  <si>
    <t>55 lbs (cooked)</t>
  </si>
  <si>
    <t>60 lbs (cooked)</t>
  </si>
  <si>
    <t>strips, boneless, skinless)</t>
  </si>
  <si>
    <t>45 1/2 lbs (raw)</t>
  </si>
  <si>
    <t>73 1/3 lbs (raw)</t>
  </si>
  <si>
    <t>80 lbs (raw)</t>
  </si>
  <si>
    <t>Sweet Red Chili Sauce</t>
  </si>
  <si>
    <t>Onions (cut half moon)</t>
  </si>
  <si>
    <t>8 1/2 each</t>
  </si>
  <si>
    <t>13 1/4 each</t>
  </si>
  <si>
    <t>14 1/2 each</t>
  </si>
  <si>
    <t>Bell Peppers (sliced and</t>
  </si>
  <si>
    <t>halved)</t>
  </si>
  <si>
    <t>Calories: 248.7</t>
  </si>
  <si>
    <t>Total Fat: 11.5 g</t>
  </si>
  <si>
    <t>Cholesterol: 93.6 mg</t>
  </si>
  <si>
    <t>Sodium: 1417 mg</t>
  </si>
  <si>
    <t>Total Carbohydrate: 15 g</t>
  </si>
  <si>
    <t>Dietary Fiber: 0.2 g</t>
  </si>
  <si>
    <t>Vitamin A: 15 IU</t>
  </si>
  <si>
    <t>Protein: 23.4 g</t>
  </si>
  <si>
    <t>Vitamin C: 5.2 mg</t>
  </si>
  <si>
    <t>Sugars: 12.6 g</t>
  </si>
  <si>
    <t>Potassium: 7.8 mg</t>
  </si>
  <si>
    <t>Ash: 0.02 g</t>
  </si>
  <si>
    <t>Water: 4.76 g</t>
  </si>
  <si>
    <t>Ginger (fresh, minced)</t>
  </si>
  <si>
    <r>
      <rPr>
        <b/>
        <i/>
        <sz val="10"/>
        <color theme="1"/>
        <rFont val="Arial"/>
        <family val="2"/>
      </rPr>
      <t>For Dressing</t>
    </r>
    <r>
      <rPr>
        <sz val="10"/>
        <color theme="1"/>
        <rFont val="Arial"/>
        <family val="2"/>
      </rPr>
      <t xml:space="preserve">:  Combine ginger, rice vinegar, soy </t>
    </r>
  </si>
  <si>
    <t>sauce, orange juice, honey, oil, and garlic powder in a</t>
  </si>
  <si>
    <t>Rice Vinegar</t>
  </si>
  <si>
    <t xml:space="preserve">blender. Blend for 2 minutes at medium speed. Pour </t>
  </si>
  <si>
    <t>dressing into a container. Cover and refrigerate.</t>
  </si>
  <si>
    <t>Tamari Soy Sauce (low sodium)</t>
  </si>
  <si>
    <t>CCP: Cool to 41° F or lower within 4 hours.</t>
  </si>
  <si>
    <t>Heat water to a rolling boil.</t>
  </si>
  <si>
    <t>Orange Juice</t>
  </si>
  <si>
    <t>Break 20" pasta into 5 pieces.</t>
  </si>
  <si>
    <t xml:space="preserve">Slowly add pasta. Stir constantly until water boils </t>
  </si>
  <si>
    <t>1 1/8 cups</t>
  </si>
  <si>
    <t>again. Cook about 8 minutes or until al dente. Stir</t>
  </si>
  <si>
    <t xml:space="preserve">occasionally. DO NOT OVERCOOK. Rinse with cold </t>
  </si>
  <si>
    <t>water or ice water to rapidly cool. Drain well.</t>
  </si>
  <si>
    <t>Steam all vegetables, then add to pasta.</t>
  </si>
  <si>
    <t>Mix well. Pour dressing over mixture and toss</t>
  </si>
  <si>
    <t>Sprinkle with sesame seeds. Serve hot.</t>
  </si>
  <si>
    <t>Chicken can be omitted and used as a side dish.</t>
  </si>
  <si>
    <t>7 gallons</t>
  </si>
  <si>
    <t>9 gallons</t>
  </si>
  <si>
    <t>10 gallons</t>
  </si>
  <si>
    <t>* MS &amp; HS serving = 6 ounces</t>
  </si>
  <si>
    <t>Spaghetti Noodles (whole</t>
  </si>
  <si>
    <t>17 1/4 pounds</t>
  </si>
  <si>
    <t>* Axis (elementary) serving = 4 ounces</t>
  </si>
  <si>
    <t>wheat, dry)</t>
  </si>
  <si>
    <t>1 3/4 gallons</t>
  </si>
  <si>
    <t>2 1/4 gallons</t>
  </si>
  <si>
    <t>Red Cabbage (fresh,</t>
  </si>
  <si>
    <t>shred)</t>
  </si>
  <si>
    <t>Carrots (fresh, shred)</t>
  </si>
  <si>
    <r>
      <t>Chicken (</t>
    </r>
    <r>
      <rPr>
        <b/>
        <sz val="11"/>
        <color theme="1"/>
        <rFont val="Arial"/>
        <family val="2"/>
      </rPr>
      <t>cooked</t>
    </r>
    <r>
      <rPr>
        <sz val="11"/>
        <color theme="1"/>
        <rFont val="Arial"/>
        <family val="2"/>
      </rPr>
      <t>, diced)</t>
    </r>
  </si>
  <si>
    <t>15 3/4 pounds</t>
  </si>
  <si>
    <t>Red Onion (fresh, thin</t>
  </si>
  <si>
    <t>sliced)</t>
  </si>
  <si>
    <t>w/o Chicken</t>
  </si>
  <si>
    <t>1.1 (0.096 w/o chicken)</t>
  </si>
  <si>
    <t>Calories: 338.48</t>
  </si>
  <si>
    <t>Total Fat: 18.31 g</t>
  </si>
  <si>
    <t>Saturated Fat: 2.22 g</t>
  </si>
  <si>
    <t>Cholesterol: 24.1 mcg</t>
  </si>
  <si>
    <t>Sodium: 338 mg</t>
  </si>
  <si>
    <t>Carbohydrate: 28.77 g</t>
  </si>
  <si>
    <t>Dietary Fiber: 5.04 g</t>
  </si>
  <si>
    <t>Protein: 16.86 g</t>
  </si>
  <si>
    <t>Calcium: 45.05 mg</t>
  </si>
  <si>
    <t>Iron: 1.87 mg</t>
  </si>
  <si>
    <t>Vitamin A: 2,099 IU</t>
  </si>
  <si>
    <t>Vitamin C: 6.89 mg</t>
  </si>
  <si>
    <r>
      <t>1 Piece (</t>
    </r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7 ounces)</t>
    </r>
  </si>
  <si>
    <t>11 lbs 6 oz</t>
  </si>
  <si>
    <t xml:space="preserve">Brown ground beef, drain, and continue immediately. </t>
  </si>
  <si>
    <t>20% or Less Fat</t>
  </si>
  <si>
    <t>Add onions and granulated garlic.</t>
  </si>
  <si>
    <t>Fresh Onions</t>
  </si>
  <si>
    <t>12 3/4 lbs</t>
  </si>
  <si>
    <t>14 1/4 lbs</t>
  </si>
  <si>
    <t>Cook for 5 minutes.</t>
  </si>
  <si>
    <t>(chopped)</t>
  </si>
  <si>
    <t xml:space="preserve">Add pepper, parsley, canned tomatoes, tomato paste, </t>
  </si>
  <si>
    <t>water, vinegar, and seasonings.</t>
  </si>
  <si>
    <t>Heat to boiling, uncovered. Remove from heat.</t>
  </si>
  <si>
    <t xml:space="preserve">Assemble ingredients as follows: In steamtable pans </t>
  </si>
  <si>
    <t xml:space="preserve">(12" x 20" x 2 1/2") which have been lightly coated </t>
  </si>
  <si>
    <t>Parsley (dried)</t>
  </si>
  <si>
    <t xml:space="preserve">with pan release spray (25 servings per pan). </t>
  </si>
  <si>
    <t>For each pan:</t>
  </si>
  <si>
    <t>Diced Tomatoes</t>
  </si>
  <si>
    <t>14 lbs 14 oz</t>
  </si>
  <si>
    <t>19 lbs</t>
  </si>
  <si>
    <t>21 1/4 lbs</t>
  </si>
  <si>
    <t>1st Layer - 1 quart 1/2 cup sauce</t>
  </si>
  <si>
    <t>(canned w/juice)</t>
  </si>
  <si>
    <t>2nd Layer - 14 uncooked noodles lengthwise</t>
  </si>
  <si>
    <t>3rd Layer - 1 quart 1/2 cup sauce</t>
  </si>
  <si>
    <t>(canned)</t>
  </si>
  <si>
    <t>4th Layer - 8 ounces (1 cup) cheese mixture</t>
  </si>
  <si>
    <t>2 gallons + 2 1/2 qts</t>
  </si>
  <si>
    <t>3 1/3 gallons</t>
  </si>
  <si>
    <t>5th Layer - 14 uncooked noodles crosswise</t>
  </si>
  <si>
    <t>6th Layer - 1 quart 3/4 cup sauce</t>
  </si>
  <si>
    <t>Dried Basil</t>
  </si>
  <si>
    <t>7th Layer - 8 ounces (1 cup) cheese mixture</t>
  </si>
  <si>
    <t>Tightly cover pans.</t>
  </si>
  <si>
    <t>Dried Oregano</t>
  </si>
  <si>
    <t>Bake: Conventional Oven: 350°F for 1.25 to 1.5 hours</t>
  </si>
  <si>
    <t>Convection Oven: 325° F for 45 minutes</t>
  </si>
  <si>
    <t>Dried Marjoram</t>
  </si>
  <si>
    <t>CCP: Heat to 165°F or higher for at least 15 seconds.</t>
  </si>
  <si>
    <t xml:space="preserve">Remove pans from oven. Uncover. </t>
  </si>
  <si>
    <t>Dried Thyme</t>
  </si>
  <si>
    <t>Let stand for 15 minutes before serving.</t>
  </si>
  <si>
    <t>Cut each pan 5x5 (25 pieces per pan).</t>
  </si>
  <si>
    <t>Basil (fresh, large</t>
  </si>
  <si>
    <t>chopped for garnish)</t>
  </si>
  <si>
    <t>Lasagna Noodles</t>
  </si>
  <si>
    <t>196 each</t>
  </si>
  <si>
    <t>252 each</t>
  </si>
  <si>
    <t>280 each</t>
  </si>
  <si>
    <t>(uncooked)</t>
  </si>
  <si>
    <t>Cheese Mixture for</t>
  </si>
  <si>
    <t>1 full batch</t>
  </si>
  <si>
    <t>1 1/4 batch</t>
  </si>
  <si>
    <t>1 1/2 batch</t>
  </si>
  <si>
    <t>Lasagna (see recipe)</t>
  </si>
  <si>
    <t>Calories: 221.5</t>
  </si>
  <si>
    <t>Total Fat: 6.7 g</t>
  </si>
  <si>
    <t>Sodium: 316 mg</t>
  </si>
  <si>
    <t>Total Carbohydrate: 30.9 g</t>
  </si>
  <si>
    <t>Dietary Fiber: 2.38 g</t>
  </si>
  <si>
    <t>Vitamin A: 423 IU</t>
  </si>
  <si>
    <t>Protein: 10.8 g</t>
  </si>
  <si>
    <t>Vitamin C: 8.7 mg</t>
  </si>
  <si>
    <t>Calcium: 13 mg</t>
  </si>
  <si>
    <t>Sugars: 4.63 g</t>
  </si>
  <si>
    <t>Vitamin D: 0.06 mcg</t>
  </si>
  <si>
    <t>Potassium: 3612 mg</t>
  </si>
  <si>
    <t>Water: 69.4 g</t>
  </si>
  <si>
    <t>2 Tacos (1.5 ounces pork per taco)</t>
  </si>
  <si>
    <t>Pork Leg</t>
  </si>
  <si>
    <t>40 pounds</t>
  </si>
  <si>
    <t>51 1/2 pounds</t>
  </si>
  <si>
    <t>Place pork in 400 pan.</t>
  </si>
  <si>
    <t xml:space="preserve">Mix water, chipotle peppers, and half the dry </t>
  </si>
  <si>
    <t>8 3/4 gallons</t>
  </si>
  <si>
    <t>11 1/4 gallons</t>
  </si>
  <si>
    <t>12 1/2 gallons</t>
  </si>
  <si>
    <t xml:space="preserve">seasonings together and braise the pork until </t>
  </si>
  <si>
    <t>shreddable, about 4-6 hours.</t>
  </si>
  <si>
    <t>8 3/4 ounces</t>
  </si>
  <si>
    <t>11 1/4 ounces</t>
  </si>
  <si>
    <t>12 1/2 ounces</t>
  </si>
  <si>
    <t>Shred pork and add remaining spices.</t>
  </si>
  <si>
    <t>Chill.</t>
  </si>
  <si>
    <t>8 Tbsp + 2 1/4 tsp</t>
  </si>
  <si>
    <t>11 1/4 Tbsp</t>
  </si>
  <si>
    <t>12 1/2 Tbsp</t>
  </si>
  <si>
    <t xml:space="preserve">Place 5 pounds of pork in hotel pan, cover with </t>
  </si>
  <si>
    <t>parchment and foil.</t>
  </si>
  <si>
    <t>Reheat at 350° F for 25 minutes or until 165° F.</t>
  </si>
  <si>
    <t>1 cup + 1 1/2 tsp</t>
  </si>
  <si>
    <t xml:space="preserve">Serve 2 tacos (1.5 ounces of pork per taco) with 1 </t>
  </si>
  <si>
    <t>ounce of slaw.</t>
  </si>
  <si>
    <t>Limes</t>
  </si>
  <si>
    <t>360 each</t>
  </si>
  <si>
    <t>400 each</t>
  </si>
  <si>
    <t>Calories: 336</t>
  </si>
  <si>
    <t>Total Fat: 18.6 g</t>
  </si>
  <si>
    <t>Saturated Fat: 5.73 g</t>
  </si>
  <si>
    <t>Cholesterol: 69.5 mg</t>
  </si>
  <si>
    <t>Sodium: 339 mg</t>
  </si>
  <si>
    <t>Carbohydrate: 20.5 g</t>
  </si>
  <si>
    <t>Protein: 22.8 g</t>
  </si>
  <si>
    <t>Calcium: 30 mg</t>
  </si>
  <si>
    <t>Vitamin A: 10.3 IU</t>
  </si>
  <si>
    <t>Vitamin C: 1.4 mg</t>
  </si>
  <si>
    <t>Swiss Cheese</t>
  </si>
  <si>
    <t>175 slices</t>
  </si>
  <si>
    <t>225 slices</t>
  </si>
  <si>
    <t>250 slices</t>
  </si>
  <si>
    <t>Build Sandwiches:</t>
  </si>
  <si>
    <t>Buttered bread</t>
  </si>
  <si>
    <t>Swiss cheese slice</t>
  </si>
  <si>
    <t>Sauerkraut</t>
  </si>
  <si>
    <t>Thousand Island</t>
  </si>
  <si>
    <t>Turkey Pastrami</t>
  </si>
  <si>
    <t>21 3/4 lbs</t>
  </si>
  <si>
    <t>28 1/8 lbs</t>
  </si>
  <si>
    <t>31 1/4 lbs</t>
  </si>
  <si>
    <t>Turkey pastrami</t>
  </si>
  <si>
    <t>Thousand Island Dressing</t>
  </si>
  <si>
    <t>Bake in 400° F oven for 15 minutes (3 max pans per</t>
  </si>
  <si>
    <t>round)</t>
  </si>
  <si>
    <t>Serve hot.</t>
  </si>
  <si>
    <t xml:space="preserve">Can put 2 layers of sandwiches in a hotel pan </t>
  </si>
  <si>
    <t>Rye Bread</t>
  </si>
  <si>
    <t>350 slices</t>
  </si>
  <si>
    <t>450 slices</t>
  </si>
  <si>
    <t>500 slices</t>
  </si>
  <si>
    <t>(≈ 16 per pan), separated by waxed paper.</t>
  </si>
  <si>
    <t>Calories: 597</t>
  </si>
  <si>
    <t>Total Fat: 38 g</t>
  </si>
  <si>
    <t>Saturated Fat: 10 g</t>
  </si>
  <si>
    <t>Cholesterol: 37 mg</t>
  </si>
  <si>
    <t>Sodium: 1,692 mg</t>
  </si>
  <si>
    <t>Carbohydrate: 50 g</t>
  </si>
  <si>
    <t>Dietary Fiber: 12 g</t>
  </si>
  <si>
    <t>Protein: 12 g</t>
  </si>
  <si>
    <t>Calcium: 140 mg</t>
  </si>
  <si>
    <t>Vitamin A: 623 IU</t>
  </si>
  <si>
    <t>Vitamin C: 11 mg</t>
  </si>
  <si>
    <t>28 1/2 lbs</t>
  </si>
  <si>
    <t>36 1/2 lbs</t>
  </si>
  <si>
    <t>40 3/4 lbs</t>
  </si>
  <si>
    <t>Add chopped onions, granulated garlic, pepper,</t>
  </si>
  <si>
    <t>5 1/4 lbs</t>
  </si>
  <si>
    <t>6 3/4 lbs</t>
  </si>
  <si>
    <t>7 1/2 lbs</t>
  </si>
  <si>
    <t>chili powder, paprika, onion powder,</t>
  </si>
  <si>
    <t xml:space="preserve">ground cumin, salt, and oregano.  Cook for </t>
  </si>
  <si>
    <t>10 1/4 Tbsp</t>
  </si>
  <si>
    <t>11 1/2 Tbsp</t>
  </si>
  <si>
    <t>5 minutes.</t>
  </si>
  <si>
    <t xml:space="preserve">Stir in tomatoes, water, tomato paste, lime juice, and </t>
  </si>
  <si>
    <t>vinegar; mix well. Bring to boil.</t>
  </si>
  <si>
    <t xml:space="preserve">Reduce heat. Cover. Simmer slowly, stirring </t>
  </si>
  <si>
    <t>occasionally until thickened, about 40 minutes.</t>
  </si>
  <si>
    <t>Stir in beans.</t>
  </si>
  <si>
    <t>Cover and simmer.  Stir occasionally.</t>
  </si>
  <si>
    <t>Garnish with cheese (optional).</t>
  </si>
  <si>
    <t>Diced Tomato's w/Juice</t>
  </si>
  <si>
    <t>6 1/2 quarts</t>
  </si>
  <si>
    <t>8 1/3 quarts</t>
  </si>
  <si>
    <t>9 1/4 quarts</t>
  </si>
  <si>
    <t>Special Tip:</t>
  </si>
  <si>
    <t>12 3/4 cups</t>
  </si>
  <si>
    <t>16 1/3 cups</t>
  </si>
  <si>
    <t>18 1/4 cups</t>
  </si>
  <si>
    <t>2 1/3 gallons</t>
  </si>
  <si>
    <t>3 1/4 gallons</t>
  </si>
  <si>
    <t>9 1/3 Tbsp</t>
  </si>
  <si>
    <r>
      <rPr>
        <b/>
        <i/>
        <sz val="11"/>
        <color theme="1"/>
        <rFont val="Arial"/>
        <family val="2"/>
      </rPr>
      <t>Canned</t>
    </r>
    <r>
      <rPr>
        <sz val="11"/>
        <color theme="1"/>
        <rFont val="Arial"/>
        <family val="2"/>
      </rPr>
      <t xml:space="preserve"> Pinto Beans</t>
    </r>
  </si>
  <si>
    <t>4 3/4 quarts</t>
  </si>
  <si>
    <t>Drained</t>
  </si>
  <si>
    <r>
      <rPr>
        <b/>
        <i/>
        <sz val="11"/>
        <color theme="1"/>
        <rFont val="Arial"/>
        <family val="2"/>
      </rPr>
      <t>Canned</t>
    </r>
    <r>
      <rPr>
        <sz val="11"/>
        <color theme="1"/>
        <rFont val="Arial"/>
        <family val="2"/>
      </rPr>
      <t xml:space="preserve"> Kidney Beans</t>
    </r>
  </si>
  <si>
    <t>1 2/3 cups</t>
  </si>
  <si>
    <t>Meal Specific Condiments</t>
  </si>
  <si>
    <t>18 3/4 pounds</t>
  </si>
  <si>
    <t>Cheese (1 oz)</t>
  </si>
  <si>
    <t>Chipotle Chili Pepper</t>
  </si>
  <si>
    <t>Red Hot Sauce</t>
  </si>
  <si>
    <t>1/4 cup + 1/2 Tbsp</t>
  </si>
  <si>
    <t>1/3 cup + 1 1/2 Tbsp</t>
  </si>
  <si>
    <t>Calories: 240.7</t>
  </si>
  <si>
    <t>Total Fat: 11.4 g</t>
  </si>
  <si>
    <t>Cholesterol: 50.6 mg</t>
  </si>
  <si>
    <t>Sodium: 308 mg</t>
  </si>
  <si>
    <t>Dietary Fiber: 3.3 g</t>
  </si>
  <si>
    <t>Vitamin A: 685 IU</t>
  </si>
  <si>
    <t>Protein: 18.7 g</t>
  </si>
  <si>
    <t>Vitamin C: 7.5 mg</t>
  </si>
  <si>
    <t>Calcium: 63.5 mg</t>
  </si>
  <si>
    <t>Sugars: 3.85 g</t>
  </si>
  <si>
    <t>Potassium: 490 mg</t>
  </si>
  <si>
    <t>Ash: 1 g</t>
  </si>
  <si>
    <t>Water: 89 g</t>
  </si>
  <si>
    <t>Trans Fat: 0.7 g</t>
  </si>
  <si>
    <t>20 Servings</t>
  </si>
  <si>
    <t>Heat oil in a steam-jacketed kettle.</t>
  </si>
  <si>
    <t>Add the onions and sauté 3 minutes, until translucent.</t>
  </si>
  <si>
    <t>1 1/3 cups + 1 onion</t>
  </si>
  <si>
    <t>4 lbs</t>
  </si>
  <si>
    <t xml:space="preserve">Add the green peppers and sauté for 2 minutes, until </t>
  </si>
  <si>
    <t>1 1/2 cups 2 Tbsp</t>
  </si>
  <si>
    <t>3 cups + 4 Tbsp</t>
  </si>
  <si>
    <t>tender.</t>
  </si>
  <si>
    <t>4 ounces</t>
  </si>
  <si>
    <t>20 ounces</t>
  </si>
  <si>
    <t xml:space="preserve">Add the chili powder, cumin, granulated garlic, onion </t>
  </si>
  <si>
    <t xml:space="preserve">powder, hot sauce (optional), brown sugar, tomatoes, </t>
  </si>
  <si>
    <t xml:space="preserve">chipotle chili powder, and salt. Simmer 15 minutes, </t>
  </si>
  <si>
    <t xml:space="preserve">Add the kidney beans, pinto beans, bulgur, water, and </t>
  </si>
  <si>
    <t>poblano chilis. Simmer 15 minutes, uncovered.</t>
  </si>
  <si>
    <t>6 Tbsp + 1 tsp</t>
  </si>
  <si>
    <t>Add yogurt and stir to blend. Pour into medium half-</t>
  </si>
  <si>
    <t>steamtable pans (10" x 12" x 4") 25 servings per pan.</t>
  </si>
  <si>
    <t>CCP: Heat to 140°F or higher for at least 15 seconds.</t>
  </si>
  <si>
    <t>Red Hot Sauce (opt)</t>
  </si>
  <si>
    <t>Portion with 6 ounce ladle (3/4 cup).</t>
  </si>
  <si>
    <t>Garnish with cheese.</t>
  </si>
  <si>
    <t>Tomatoes (crushed, canned,</t>
  </si>
  <si>
    <t>1 #10 can</t>
  </si>
  <si>
    <t>2 #10 cans</t>
  </si>
  <si>
    <t>with juice)</t>
  </si>
  <si>
    <t>Tomatoes (diced, canned,</t>
  </si>
  <si>
    <t>1/2 lb</t>
  </si>
  <si>
    <t>1 lb 2 1/2 oz</t>
  </si>
  <si>
    <t>2 lbs 5 oz</t>
  </si>
  <si>
    <t>Kidney Beans (canned,</t>
  </si>
  <si>
    <t>2 lbs 4 oz</t>
  </si>
  <si>
    <t>5 lbs 9 oz</t>
  </si>
  <si>
    <t>11 lbs 2 oz</t>
  </si>
  <si>
    <t>drained)</t>
  </si>
  <si>
    <t>Low-fat Plain Yogurt</t>
  </si>
  <si>
    <t>3/4 lb 1 oz</t>
  </si>
  <si>
    <t>1 1/4 lbs</t>
  </si>
  <si>
    <t>3 lbs 2 oz</t>
  </si>
  <si>
    <t>6 lbs 4 oz</t>
  </si>
  <si>
    <t xml:space="preserve"> Chipotle Chile Powder</t>
  </si>
  <si>
    <t>Poblano Chiles</t>
  </si>
  <si>
    <t>7 each</t>
  </si>
  <si>
    <t>Pinto Beans</t>
  </si>
  <si>
    <t>4 Tbsp + 3 tsp</t>
  </si>
  <si>
    <t>Calories: 223</t>
  </si>
  <si>
    <t>Total Fat: 7.48 g</t>
  </si>
  <si>
    <t>Saturated Fat: 3.76 g</t>
  </si>
  <si>
    <t>Cholesterol: 17 mg</t>
  </si>
  <si>
    <t>Sodium: 606 mg</t>
  </si>
  <si>
    <t>Carbohydrate: 27 g</t>
  </si>
  <si>
    <t>Dietary Fiber: 6.4 g</t>
  </si>
  <si>
    <t>Protein: 14.57g</t>
  </si>
  <si>
    <t>Calcium: 333 mg</t>
  </si>
  <si>
    <t>Iron: 2.26 mg</t>
  </si>
  <si>
    <t>Vitamin A: 1,257 IU</t>
  </si>
  <si>
    <t>Vitamin C: 17.5 mg</t>
  </si>
  <si>
    <t>4 1/3 lbs</t>
  </si>
  <si>
    <t>6 lbs</t>
  </si>
  <si>
    <t xml:space="preserve">Combine peppers, onions, black beans, corn, green </t>
  </si>
  <si>
    <t>chilis, mushrooms. Heat on medium heat for 5 minutes.</t>
  </si>
  <si>
    <t>Add tomatoes to vegetable mixture and drain excess</t>
  </si>
  <si>
    <t>liquid.</t>
  </si>
  <si>
    <t>Black Beans (canned,</t>
  </si>
  <si>
    <t>6 lbs 12 1/2 oz</t>
  </si>
  <si>
    <t xml:space="preserve">Add chili powder, cumin, onion powder, red pepper </t>
  </si>
  <si>
    <t>Corn (whole kernel,</t>
  </si>
  <si>
    <t>7 lbs 3 1/2 oz</t>
  </si>
  <si>
    <t>9 1/4 lbs</t>
  </si>
  <si>
    <t>10 1/3 lbs</t>
  </si>
  <si>
    <t xml:space="preserve">Sprinkle each tortilla with 1/2 ounces of Monterey </t>
  </si>
  <si>
    <t>canned, drained)</t>
  </si>
  <si>
    <t>Jack cheese.</t>
  </si>
  <si>
    <t>Tomatoes (fresh,</t>
  </si>
  <si>
    <t>3 lbs 4 1/2 oz</t>
  </si>
  <si>
    <t>Spoon 1 ounce vegetable mixture onto each tortilla.</t>
  </si>
  <si>
    <t>Sprinkle each tortilla with 1/2 ounce Cheddar cheese.</t>
  </si>
  <si>
    <t>Fold each tortilla in half into a 1/2 moon shape.</t>
  </si>
  <si>
    <t>Conventional Oven: 400° F for 10 minutes.</t>
  </si>
  <si>
    <t>Convection Oven: 375° F for 7 minutes.</t>
  </si>
  <si>
    <t>88 each</t>
  </si>
  <si>
    <t>113 each</t>
  </si>
  <si>
    <t>126 each</t>
  </si>
  <si>
    <t>176 each</t>
  </si>
  <si>
    <t>226 each</t>
  </si>
  <si>
    <t>251 each</t>
  </si>
  <si>
    <t>Calories: 293</t>
  </si>
  <si>
    <t>Total Fat: 12.3 g</t>
  </si>
  <si>
    <t>Saturated Fat: 6 g</t>
  </si>
  <si>
    <t>Cholesterol: 25.4 mg</t>
  </si>
  <si>
    <t>Sodium: 531.7 mg</t>
  </si>
  <si>
    <t>Vitamin A: 981 IU</t>
  </si>
  <si>
    <t>Calcium: 264 mg</t>
  </si>
  <si>
    <t>Potassium: 293 mg</t>
  </si>
  <si>
    <t>Ash: 0.12 g</t>
  </si>
  <si>
    <t>Water: 26 g</t>
  </si>
  <si>
    <t>Added Sugars: 0.7 g</t>
  </si>
  <si>
    <t>Zucchini (medium,</t>
  </si>
  <si>
    <t>1 each</t>
  </si>
  <si>
    <t>Sauté vegetables, salt, pepper, and garlic until</t>
  </si>
  <si>
    <t>medium diced)</t>
  </si>
  <si>
    <t>spinach is wilted.</t>
  </si>
  <si>
    <t>Yellow Squash (medium,</t>
  </si>
  <si>
    <t>Layer sauce and 6 noodles, veggies.</t>
  </si>
  <si>
    <t>Layer sauce, cheese mixture, and noodles.</t>
  </si>
  <si>
    <t>Red Onion (medium,</t>
  </si>
  <si>
    <t>Layer sauce, veggies, and mozzarella cheese.</t>
  </si>
  <si>
    <t>Baby Spinach</t>
  </si>
  <si>
    <t>16 cups</t>
  </si>
  <si>
    <t>Pizza Sauce (see</t>
  </si>
  <si>
    <t>12 quarts</t>
  </si>
  <si>
    <t>separate recipe)</t>
  </si>
  <si>
    <t>36 each</t>
  </si>
  <si>
    <t>72 each</t>
  </si>
  <si>
    <t>144 each</t>
  </si>
  <si>
    <t>Cheese Mixture (see</t>
  </si>
  <si>
    <t>Calories: 251.9</t>
  </si>
  <si>
    <t>Total Fat: 1.6 g</t>
  </si>
  <si>
    <t>Saturated Fat: 0.02 g</t>
  </si>
  <si>
    <t>Cholesterol: 0.02 mg</t>
  </si>
  <si>
    <t>Sodium: 1015 mg</t>
  </si>
  <si>
    <t>Total Carbohydrate: 50.65 g</t>
  </si>
  <si>
    <t>Dietary Fiber: 5.18 g</t>
  </si>
  <si>
    <t>Vitamin A: 2320 IU</t>
  </si>
  <si>
    <t>Protein: 11 g</t>
  </si>
  <si>
    <t>Vitamin C: 23.9 mg</t>
  </si>
  <si>
    <t>Calcium: 25 mg</t>
  </si>
  <si>
    <t>Sugars: 11 g</t>
  </si>
  <si>
    <t>Potassium: 649.5 mg</t>
  </si>
  <si>
    <t>Ash: 0.28 g</t>
  </si>
  <si>
    <t>Water: 40.48 g</t>
  </si>
  <si>
    <t>1 Piece (2 to 3 ounces)</t>
  </si>
  <si>
    <t>Chicken (8-cut pieces)</t>
  </si>
  <si>
    <t>Defrost chicken under refrigeration for 2-3 days.</t>
  </si>
  <si>
    <t xml:space="preserve">Sort chicken by piece and place in bowl or deep </t>
  </si>
  <si>
    <t>Southwest Spice Rub</t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</si>
  <si>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3 1/2 cups</t>
    </r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</si>
  <si>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4 1/2 cups</t>
    </r>
  </si>
  <si>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</rPr>
      <t xml:space="preserve"> 5 cups</t>
    </r>
  </si>
  <si>
    <t>hotel pan. Toss chicken with spice rub.</t>
  </si>
  <si>
    <t>(Recipe 511)</t>
  </si>
  <si>
    <t xml:space="preserve">Place chicken on sprayed, parchment lined sheet </t>
  </si>
  <si>
    <t>pans, like pieces together. Pan chicken as follows:</t>
  </si>
  <si>
    <t>Wings: 42 pieces (6x7)</t>
  </si>
  <si>
    <t>Legs: 40 pieces (8x5)</t>
  </si>
  <si>
    <t>Thighs: 24 pieces (6x4)</t>
  </si>
  <si>
    <t>Breasts: 20 pieces (5x4)</t>
  </si>
  <si>
    <t xml:space="preserve">Roast in 400° F conventional oven (350° F for </t>
  </si>
  <si>
    <t xml:space="preserve">convection oven) for 40-55 minutes, until chicken </t>
  </si>
  <si>
    <t>reaches internal temperature of 165° F.</t>
  </si>
  <si>
    <t xml:space="preserve">NOTE: Different pieces (wing, leg, thigh, breast) </t>
  </si>
  <si>
    <t>have different cooking times.</t>
  </si>
  <si>
    <t xml:space="preserve">Using instant read thermometer, test 4-5 pieces, </t>
  </si>
  <si>
    <t>from different areas of the tray.</t>
  </si>
  <si>
    <t xml:space="preserve">For same day service, hot hold above 135° F, </t>
  </si>
  <si>
    <t>according to HACCP SOP for service.</t>
  </si>
  <si>
    <t>For next day service, cool according to HACCP SOP.</t>
  </si>
  <si>
    <t xml:space="preserve">Calories: </t>
  </si>
  <si>
    <t xml:space="preserve">Total Fat: </t>
  </si>
  <si>
    <t xml:space="preserve">Saturated Fat: </t>
  </si>
  <si>
    <t xml:space="preserve">Cholesterol: </t>
  </si>
  <si>
    <t xml:space="preserve">Sodium: </t>
  </si>
  <si>
    <t xml:space="preserve">Carbohydrate: </t>
  </si>
  <si>
    <t xml:space="preserve">Dietary Fiber: </t>
  </si>
  <si>
    <t xml:space="preserve">Protein: </t>
  </si>
  <si>
    <t xml:space="preserve">Calcium: </t>
  </si>
  <si>
    <t xml:space="preserve">Iron: </t>
  </si>
  <si>
    <t xml:space="preserve">Vitamin A: </t>
  </si>
  <si>
    <t xml:space="preserve">Vitamin C: </t>
  </si>
  <si>
    <t>Chicken or Turkey Stock</t>
  </si>
  <si>
    <t>5 1/2 gallons</t>
  </si>
  <si>
    <t>7 1/4 gallons</t>
  </si>
  <si>
    <t>8 gallons</t>
  </si>
  <si>
    <t xml:space="preserve">In a heavy pot, combine stock, celery, carrots </t>
  </si>
  <si>
    <t>(No MSG)</t>
  </si>
  <si>
    <t>(optional), onions, parsley (optional), pepper, and</t>
  </si>
  <si>
    <t>Celery (fresh, chopped)</t>
  </si>
  <si>
    <t xml:space="preserve">poultry seasoning. Bring to boil. Reduce heat and </t>
  </si>
  <si>
    <t>cover. Simmer for 20 minutes.</t>
  </si>
  <si>
    <t>Carrots (fresh, chopped)</t>
  </si>
  <si>
    <t>12 3/4 pounds</t>
  </si>
  <si>
    <t>14 1/4 pounds</t>
  </si>
  <si>
    <t xml:space="preserve">Add noodles and chicken or turkey. Return to </t>
  </si>
  <si>
    <t>optional</t>
  </si>
  <si>
    <t xml:space="preserve">simmer. Cover. Simmer for 10 minutes or until </t>
  </si>
  <si>
    <t>noodles are tender.</t>
  </si>
  <si>
    <t>CCP: Heat to 165° F or higher.</t>
  </si>
  <si>
    <t>Parsley (dried) optional</t>
  </si>
  <si>
    <t>CCP: Hold for hot service at 140° F or higher.</t>
  </si>
  <si>
    <t>Enriched Medium Noodles</t>
  </si>
  <si>
    <t>4 1/4 pounds</t>
  </si>
  <si>
    <t>Chicken or Turkey (cooked,</t>
  </si>
  <si>
    <t>14 3/4 lbs</t>
  </si>
  <si>
    <t>4 1/4 Tbsp</t>
  </si>
  <si>
    <t>1/2 lb 2oz</t>
  </si>
  <si>
    <t>3/4 lb</t>
  </si>
  <si>
    <t>2 containers</t>
  </si>
  <si>
    <t>2 1/2 containers</t>
  </si>
  <si>
    <t>2 3/4 containers</t>
  </si>
  <si>
    <t>(1 1/2 cups/container)</t>
  </si>
  <si>
    <t>Cajun Seasoning</t>
  </si>
  <si>
    <t>Curry</t>
  </si>
  <si>
    <t>6 1/3 Tbsp</t>
  </si>
  <si>
    <t>7 1/4 Tbsp</t>
  </si>
  <si>
    <t>Calories: 61</t>
  </si>
  <si>
    <t>Total Fat: 1.5 g</t>
  </si>
  <si>
    <t>Saturated Fat: 0.39 g</t>
  </si>
  <si>
    <t>Sodium: 33 mg</t>
  </si>
  <si>
    <t>Carbohydrate: 6.18 g</t>
  </si>
  <si>
    <t>Dietary Fiber: 0.4 g</t>
  </si>
  <si>
    <t>Protein: 5.47 g</t>
  </si>
  <si>
    <t>Calcium: 9 mg</t>
  </si>
  <si>
    <t>Iron: 0.58 mg</t>
  </si>
  <si>
    <t>Vitamin A: 21 IU</t>
  </si>
  <si>
    <t>Vitamin C: 0.5 mg</t>
  </si>
  <si>
    <t>2 Sliders or 1 Large Sandwich</t>
  </si>
  <si>
    <t>Thaw pork for a few days before cooking.</t>
  </si>
  <si>
    <t xml:space="preserve">Mix all broth ingredients (water, cumin, salt, </t>
  </si>
  <si>
    <t>pepper, and mustard).  Pour over pork.</t>
  </si>
  <si>
    <t>Cover with parchment and foil.  Cook for 4-6 hours.</t>
  </si>
  <si>
    <t>4 2/3 Tbsp</t>
  </si>
  <si>
    <t>6 2/3 Tbsp</t>
  </si>
  <si>
    <t>Shred when pork is still hot.</t>
  </si>
  <si>
    <t>Strain liquid over pork and chill overnight.</t>
  </si>
  <si>
    <t>Slice ham and cheese.</t>
  </si>
  <si>
    <t>2 pints</t>
  </si>
  <si>
    <t>2 1/2 pints</t>
  </si>
  <si>
    <t>2 3/4 pints</t>
  </si>
  <si>
    <t>Assemble sandwiches:</t>
  </si>
  <si>
    <t>21 3/4 pounds</t>
  </si>
  <si>
    <t>24 1/4 pounds</t>
  </si>
  <si>
    <t>1 slice ham at .5 ounce each</t>
  </si>
  <si>
    <t>1 slice swiss cheese at .5 ounce each</t>
  </si>
  <si>
    <t>Ham</t>
  </si>
  <si>
    <t>10 1/4 pounds</t>
  </si>
  <si>
    <t>14 1/2 pounds</t>
  </si>
  <si>
    <t>1 ounce pork or 2 ounce pork volume</t>
  </si>
  <si>
    <t>2 pickles</t>
  </si>
  <si>
    <t>mustard on the slider buns</t>
  </si>
  <si>
    <t>50 sliders per sheet pan, wrap in plastic</t>
  </si>
  <si>
    <t>3 1/3 quarts</t>
  </si>
  <si>
    <t>Pickles</t>
  </si>
  <si>
    <t>Hamburger Buns (2 oz)</t>
  </si>
  <si>
    <t>Calories: 438</t>
  </si>
  <si>
    <t>Total Fat: 13.5 g</t>
  </si>
  <si>
    <t>Cholesterol: 39.6 mg</t>
  </si>
  <si>
    <t>Sodium: 1,661 mg</t>
  </si>
  <si>
    <t>Carbohydrate: 51.7 g</t>
  </si>
  <si>
    <t>Dietary Fiber: 5.3 g</t>
  </si>
  <si>
    <t>Protein: 21 g</t>
  </si>
  <si>
    <t>Calcium: 127.9 mg</t>
  </si>
  <si>
    <t>Vitamin A: 149 IU</t>
  </si>
  <si>
    <t>2 Meatballs</t>
  </si>
  <si>
    <t>2 cups + 5 1/4 Tbsp</t>
  </si>
  <si>
    <t xml:space="preserve">In mixer with the paddle attachment, combine tomato </t>
  </si>
  <si>
    <t>paste, water, stock, eggs, oats, and dry milk for 2</t>
  </si>
  <si>
    <t>minutes on medium speed.</t>
  </si>
  <si>
    <t xml:space="preserve">Add ground beef, onions, celery, parsley, pepper, </t>
  </si>
  <si>
    <t>Beef Stock (no MSG)</t>
  </si>
  <si>
    <t>2 1/4 quarts</t>
  </si>
  <si>
    <t>granulated garlic, basil, oregano, marjoram, thyme,</t>
  </si>
  <si>
    <t xml:space="preserve">and salt. Mix on low speed for 3 minutes or until </t>
  </si>
  <si>
    <t>Frozen Whole Eggs (thawed)</t>
  </si>
  <si>
    <t>3 cups + 4 1/2 Tbsp</t>
  </si>
  <si>
    <t>blended. DO NOT OVERMIX.</t>
  </si>
  <si>
    <r>
      <rPr>
        <sz val="11"/>
        <color rgb="FFFF0000"/>
        <rFont val="Arial"/>
        <family val="2"/>
      </rPr>
      <t>or</t>
    </r>
    <r>
      <rPr>
        <sz val="11"/>
        <color theme="1"/>
        <rFont val="Arial"/>
        <family val="2"/>
      </rPr>
      <t xml:space="preserve"> Fresh Large Eggs</t>
    </r>
  </si>
  <si>
    <t>16 each</t>
  </si>
  <si>
    <t>23 each</t>
  </si>
  <si>
    <t xml:space="preserve">Portion with level firmly packed Number 16 scoop </t>
  </si>
  <si>
    <t>Rolled Oats</t>
  </si>
  <si>
    <t>3 lbs 2 3/4 oz</t>
  </si>
  <si>
    <t>4 lbs 7 oz</t>
  </si>
  <si>
    <t>(1/4 cup) into steamtable pans (12" x 20" x 2 1/2")</t>
  </si>
  <si>
    <t>25 meatballs per pan.</t>
  </si>
  <si>
    <t>3 cups + 1 Tbsp</t>
  </si>
  <si>
    <t>4 cups + 7 Tbsp</t>
  </si>
  <si>
    <t>Conventional Oven: 350° F for 40 min.</t>
  </si>
  <si>
    <t>Convection Oven: 275° F for 40 min.</t>
  </si>
  <si>
    <t>27 1/2 lbs 1 oz</t>
  </si>
  <si>
    <t>35 1/2 lbs</t>
  </si>
  <si>
    <t>39 lbs 6 oz</t>
  </si>
  <si>
    <t xml:space="preserve">CCP: Heat to 155° F or higher for at least 15 </t>
  </si>
  <si>
    <t>(less than 20% fat)</t>
  </si>
  <si>
    <t>seconds; or if using homemade stock,</t>
  </si>
  <si>
    <r>
      <t xml:space="preserve">Onions (fresh) </t>
    </r>
    <r>
      <rPr>
        <sz val="11"/>
        <color rgb="FFFF0000"/>
        <rFont val="Arial"/>
        <family val="2"/>
      </rPr>
      <t>or</t>
    </r>
  </si>
  <si>
    <t>CCP: Heat to 165° F or higher for min. 15 seconds.</t>
  </si>
  <si>
    <t>1 1/4 cups + 1 Tbsp</t>
  </si>
  <si>
    <t>Drain fat from pans.</t>
  </si>
  <si>
    <t>Celery (fresh, diced)</t>
  </si>
  <si>
    <t>Serve 2 meatballs per serving.</t>
  </si>
  <si>
    <t xml:space="preserve">Serve with Brown Gravy (see Country Fried Steak </t>
  </si>
  <si>
    <t>recipe), tomato sauce, or in a meatball sub.</t>
  </si>
  <si>
    <t>Basil (dried)</t>
  </si>
  <si>
    <t>Oregano (dried)</t>
  </si>
  <si>
    <t>Marjoram (dried)</t>
  </si>
  <si>
    <t>Calories: 195</t>
  </si>
  <si>
    <t>Total Fat: 10.26 g</t>
  </si>
  <si>
    <t>Saturated Fat: 4.22 g</t>
  </si>
  <si>
    <t>Sodium: 122 mg</t>
  </si>
  <si>
    <t>Carbohydrate: 7.9 g</t>
  </si>
  <si>
    <t>Protein: 17.04 g</t>
  </si>
  <si>
    <t>Vitamin A: 155 IU</t>
  </si>
  <si>
    <t>Vitamin C: 3.1 mg</t>
  </si>
  <si>
    <t>Calcium: 47 mg</t>
  </si>
  <si>
    <t>Iron: 2.23 mg</t>
  </si>
  <si>
    <t>Serve sauce (4 oz) and pasta (4 oz) separately (6 oz weight)</t>
  </si>
  <si>
    <t>29 3/4 lbs</t>
  </si>
  <si>
    <t>38 1/4 lbs</t>
  </si>
  <si>
    <t>51 lbs</t>
  </si>
  <si>
    <r>
      <rPr>
        <b/>
        <sz val="10"/>
        <color theme="1"/>
        <rFont val="Arial"/>
        <family val="2"/>
      </rPr>
      <t>Meat Sauce</t>
    </r>
    <r>
      <rPr>
        <sz val="10"/>
        <color theme="1"/>
        <rFont val="Arial"/>
        <family val="2"/>
      </rPr>
      <t xml:space="preserve">: Brown ground beef, drain, and continue </t>
    </r>
  </si>
  <si>
    <t>immediately. Add onions and cook 5 minutes.</t>
  </si>
  <si>
    <t>11 cups</t>
  </si>
  <si>
    <t>14 3/4 cups</t>
  </si>
  <si>
    <t xml:space="preserve">Add garlic, pepper, tomato puree, water, salt, </t>
  </si>
  <si>
    <t>parsley, basil, oregano, marjoram, thyme, red</t>
  </si>
  <si>
    <t>12 3/4 Tbsp</t>
  </si>
  <si>
    <t>17 Tbsp</t>
  </si>
  <si>
    <t>vinegar, Italian seasoning, and tomato paste. Simmer</t>
  </si>
  <si>
    <t>1 hour.</t>
  </si>
  <si>
    <t>CCP: Heat to 155° F or higher for min. 15 seconds.</t>
  </si>
  <si>
    <r>
      <rPr>
        <b/>
        <sz val="10"/>
        <color theme="1"/>
        <rFont val="Arial"/>
        <family val="2"/>
      </rPr>
      <t>Spaghetti</t>
    </r>
    <r>
      <rPr>
        <sz val="10"/>
        <color theme="1"/>
        <rFont val="Arial"/>
        <family val="2"/>
      </rPr>
      <t>: Heat water to rolling boil. Add salt.</t>
    </r>
  </si>
  <si>
    <t>Tomato Sauce (canned)</t>
  </si>
  <si>
    <t>5 gallons</t>
  </si>
  <si>
    <t xml:space="preserve">Slowly add spaghetti. Stir constantly until water boils </t>
  </si>
  <si>
    <t>again. Cook 10-12 minutes or until tender. Stir</t>
  </si>
  <si>
    <t xml:space="preserve">occasionally. Do not overcook. Drain well. Run cold </t>
  </si>
  <si>
    <t>water to cool.</t>
  </si>
  <si>
    <t>Coat pasta with olive oil to keep from sticking.</t>
  </si>
  <si>
    <t>Dried Parsley</t>
  </si>
  <si>
    <t>Serve 4 ounces of pasta covered with 4 ounces of</t>
  </si>
  <si>
    <t>meat sauce.</t>
  </si>
  <si>
    <t>*NOTE: 5 lbs dry pasta = 25 cooked servings</t>
  </si>
  <si>
    <t>1 gallon = 16 cups</t>
  </si>
  <si>
    <t>Tomato Paste (if no</t>
  </si>
  <si>
    <t>14 cups</t>
  </si>
  <si>
    <t>4 qts + 2 3/4 cups</t>
  </si>
  <si>
    <t>puree available)</t>
  </si>
  <si>
    <t>21 gallons</t>
  </si>
  <si>
    <t>27 gallons</t>
  </si>
  <si>
    <t>36 gallons</t>
  </si>
  <si>
    <t>Spaghetti (broken</t>
  </si>
  <si>
    <t>into thirds)</t>
  </si>
  <si>
    <t>Parsley (fresh)</t>
  </si>
  <si>
    <t>Garlic (fresh)</t>
  </si>
  <si>
    <t>2 cans</t>
  </si>
  <si>
    <t>2 1/2 cans</t>
  </si>
  <si>
    <t>3 1/2 cans</t>
  </si>
  <si>
    <t>Calories: 510</t>
  </si>
  <si>
    <t>Total Fat: 16.7 g</t>
  </si>
  <si>
    <t>Sodium: 1154 mg</t>
  </si>
  <si>
    <t>Total Carbohydrate: 65.7 g</t>
  </si>
  <si>
    <t>Dietary Fiber: 4.5 g</t>
  </si>
  <si>
    <t>Iron: 4.2 mg</t>
  </si>
  <si>
    <t>Vitamin A: 552 IU</t>
  </si>
  <si>
    <t>Protein: 25.5 g</t>
  </si>
  <si>
    <t>Vitamin C: 10 mg</t>
  </si>
  <si>
    <t>Calcium: 3.5 mg</t>
  </si>
  <si>
    <t>Sugars: 7 g</t>
  </si>
  <si>
    <t>Vitamin D: 0.17 mcg</t>
  </si>
  <si>
    <t>Potassium: 8963 mg</t>
  </si>
  <si>
    <t>Water: 52.5 g</t>
  </si>
  <si>
    <t>Toasted Turkey Ham &amp; Cheese Sandwich (USDA)</t>
  </si>
  <si>
    <t>1 lb 5 oz</t>
  </si>
  <si>
    <t>1 lb 11 oz</t>
  </si>
  <si>
    <t>Brush 1 Tbsp butter on each sheet pan (18"x26"x1")</t>
  </si>
  <si>
    <t>with 20 sandwiches per pan (4x5).</t>
  </si>
  <si>
    <t>Enriched Bread</t>
  </si>
  <si>
    <t>600 each</t>
  </si>
  <si>
    <t>Top each slice of bread with 1 slice (.75 oz) cheese</t>
  </si>
  <si>
    <t>(26 g/slice)</t>
  </si>
  <si>
    <t>and 3 slices (2 oz) of turkey ham. Cover with</t>
  </si>
  <si>
    <t>remaining bread slices. Brush tops of sandwiches</t>
  </si>
  <si>
    <t>(slices)</t>
  </si>
  <si>
    <t>with remaining butter (3 Tbsp per pan).</t>
  </si>
  <si>
    <t>Turkey (.67 oz/slice)</t>
  </si>
  <si>
    <t>525 each</t>
  </si>
  <si>
    <t>675 each</t>
  </si>
  <si>
    <t>900 each</t>
  </si>
  <si>
    <t>Bake until lightly browned:</t>
  </si>
  <si>
    <t>Conventional Oven: 400° F for 15-20 min.</t>
  </si>
  <si>
    <t>Convection Oven: 350° F for 10-15 min.</t>
  </si>
  <si>
    <t>DO NOT OVERBAKE.</t>
  </si>
  <si>
    <t>CCP: Heat to 135° F or higher.</t>
  </si>
  <si>
    <t>Calories: 295</t>
  </si>
  <si>
    <t>Saturated Fat: 5.7 g</t>
  </si>
  <si>
    <t>Cholesterol: 52.7 mg</t>
  </si>
  <si>
    <t>Sodium: 721 mg</t>
  </si>
  <si>
    <t>Total Carbohydrate: 28 g</t>
  </si>
  <si>
    <t>Protein: 18 g</t>
  </si>
  <si>
    <t>Calcium: 190 mg</t>
  </si>
  <si>
    <t>Potassium: 190 mg</t>
  </si>
  <si>
    <t>Large Butternut Squash</t>
  </si>
  <si>
    <t>28 each</t>
  </si>
  <si>
    <t>31 each</t>
  </si>
  <si>
    <t xml:space="preserve">Preheat oven to 425° F and line speed rack pans </t>
  </si>
  <si>
    <t>(≈ 3 pounds) half &amp; seed</t>
  </si>
  <si>
    <t>with parchment paper. Place butternut squash on</t>
  </si>
  <si>
    <t>1 cup + 5 3/4 Tbsp</t>
  </si>
  <si>
    <t xml:space="preserve">pans and drizzle each half with just enough olive oil to </t>
  </si>
  <si>
    <t>lightly coat the squash on the inside (≈ 1 tsp each).</t>
  </si>
  <si>
    <t>Shallot (chopped)</t>
  </si>
  <si>
    <t>Rub the oil over the inside of the squash and sprinkle</t>
  </si>
  <si>
    <t>each with salt and pepper.</t>
  </si>
  <si>
    <t>5 Tbsp + 2 1/2 tsp</t>
  </si>
  <si>
    <t>8 1/3 Tbsp</t>
  </si>
  <si>
    <t xml:space="preserve">Turn the squash face down and roast until tender and </t>
  </si>
  <si>
    <t>completely cooked through (≈ 45-50 minutes).</t>
  </si>
  <si>
    <t>Garlic Clove (pressed or</t>
  </si>
  <si>
    <t>43 each</t>
  </si>
  <si>
    <t>55 each</t>
  </si>
  <si>
    <t xml:space="preserve">Set the squash aside until cool enough to handle (≈ </t>
  </si>
  <si>
    <t>10 minutes). Use large spoon to scoop the butternut</t>
  </si>
  <si>
    <t>Maple Syrup</t>
  </si>
  <si>
    <t>7 Tbsp + 3/4 tsp</t>
  </si>
  <si>
    <t>10 1/3 Tbsp</t>
  </si>
  <si>
    <t>squash flesh into a bowl and discard the tough skin.</t>
  </si>
  <si>
    <t xml:space="preserve">Meanwhile, in the tilt skillet, warm olive oil over </t>
  </si>
  <si>
    <t>Nutmeg (ground)</t>
  </si>
  <si>
    <t>3 tsp</t>
  </si>
  <si>
    <t>3 3/4 tsp</t>
  </si>
  <si>
    <t>4 1/4 tsp</t>
  </si>
  <si>
    <t>medium heat until shimmering. Add the chopped</t>
  </si>
  <si>
    <t xml:space="preserve">shallots and salt. Cook, stirring often, until the shallots </t>
  </si>
  <si>
    <t>have softened and is starting to turn golden on</t>
  </si>
  <si>
    <t xml:space="preserve">the edges (≈ 3-4  minutes). Add the garlic and cook </t>
  </si>
  <si>
    <t>Vegetable Broth</t>
  </si>
  <si>
    <t>7 3/4 gallons</t>
  </si>
  <si>
    <t>until fragrant (≈ 30 seconds) stirring frequently.</t>
  </si>
  <si>
    <t xml:space="preserve">Add the squash, broth, maple syrup, nutmeg, apples, </t>
  </si>
  <si>
    <t>14 Tbsp + 1 3/4 tsp</t>
  </si>
  <si>
    <t>and black pepper. Bring to simmer and cook,</t>
  </si>
  <si>
    <t xml:space="preserve">stirring occasionally, for 15 to 20 minutes so the </t>
  </si>
  <si>
    <t>Apples</t>
  </si>
  <si>
    <t>11-12 each</t>
  </si>
  <si>
    <t>14-15 each</t>
  </si>
  <si>
    <t>15-16 each</t>
  </si>
  <si>
    <t>flavors have a chance to held. Carefully use your</t>
  </si>
  <si>
    <t xml:space="preserve">immersion blender to blend the soup completely, then </t>
  </si>
  <si>
    <t>add butter, to taste, and blend well. Taste and</t>
  </si>
  <si>
    <t>blend in more salt and pepper, if necessary.</t>
  </si>
  <si>
    <t xml:space="preserve">Serve immediately. Let leftover soup cool completely </t>
  </si>
  <si>
    <t>before transferring it to a proper storage</t>
  </si>
  <si>
    <t xml:space="preserve">container and refrigerating it for up to 4 days, or </t>
  </si>
  <si>
    <t>freeze for up to 3 months.</t>
  </si>
  <si>
    <t>Calories: 154</t>
  </si>
  <si>
    <t>Total Fat: 6.8 g</t>
  </si>
  <si>
    <t>Saturated Fat: 2.4 g</t>
  </si>
  <si>
    <t>Cholesterol: 7.6 mg</t>
  </si>
  <si>
    <t>Sodium: 1244.8 mg</t>
  </si>
  <si>
    <t>Carbohydrate: 24.3 g</t>
  </si>
  <si>
    <t>Dietary Fiber: 3.7 g</t>
  </si>
  <si>
    <t>Protein: 2.7 g</t>
  </si>
  <si>
    <t>Vitamin A: 53%</t>
  </si>
  <si>
    <t>Vitamin C: 55%</t>
  </si>
  <si>
    <t>Calcium: 9%</t>
  </si>
  <si>
    <t>Iron: 8%</t>
  </si>
  <si>
    <t>Coriander Seeds</t>
  </si>
  <si>
    <t>1 3/4 cup + 1 3/4 Tbsp</t>
  </si>
  <si>
    <t>Preheat oven to 400° F (200° C).</t>
  </si>
  <si>
    <t xml:space="preserve">In a mortar or spice grinder, grind coriander, cumin, </t>
  </si>
  <si>
    <t>Cumin Seeds</t>
  </si>
  <si>
    <t>oregano, fennel, red pepper, salt and peppercorns</t>
  </si>
  <si>
    <t xml:space="preserve">into a coarse powder. Blend in garlic and 1 Tbsp olive </t>
  </si>
  <si>
    <t>oil to form a paste.</t>
  </si>
  <si>
    <t xml:space="preserve">Wash pumpkins, and cut into 2-inch wide wedges, </t>
  </si>
  <si>
    <t>Fennel Seeds</t>
  </si>
  <si>
    <t>scraping away seeds. Peel potatoes and cut each</t>
  </si>
  <si>
    <t xml:space="preserve">potato lengthwise into 6 wedges. Smear the pumpkin </t>
  </si>
  <si>
    <t>1/4 cup + 2 1/2 tsp</t>
  </si>
  <si>
    <t>and the potatoes with the spice paste and place</t>
  </si>
  <si>
    <t>in a baking dish.</t>
  </si>
  <si>
    <t xml:space="preserve">Roast in preheated oven 30-40 minutes, until tender </t>
  </si>
  <si>
    <t>and just beginning to blacken at the thinnest points.</t>
  </si>
  <si>
    <t>Black Peppercorns</t>
  </si>
  <si>
    <t xml:space="preserve">Meanwhile, in a large pot over medium heat, cook the </t>
  </si>
  <si>
    <t>onion in the remaining 1 Tbsp olive oil until</t>
  </si>
  <si>
    <t>Cloves Garlic</t>
  </si>
  <si>
    <t>29 each</t>
  </si>
  <si>
    <t>37 each</t>
  </si>
  <si>
    <t>41 each</t>
  </si>
  <si>
    <t>translucent.</t>
  </si>
  <si>
    <t xml:space="preserve">Chop pumpkin and potatoes into smaller chunks and </t>
  </si>
  <si>
    <t>Olive Oil (divided)</t>
  </si>
  <si>
    <t>3 1/2 cups + 1 3/4 Tbsp</t>
  </si>
  <si>
    <t xml:space="preserve">puree in a bender or food processor with some of </t>
  </si>
  <si>
    <t xml:space="preserve">the chicken broth until smooth. Be sure to scrape the </t>
  </si>
  <si>
    <t>Sugar Pumpkin (medium)</t>
  </si>
  <si>
    <t>roasted spice paste off the baking dish and include</t>
  </si>
  <si>
    <t xml:space="preserve">it in the puree. It may be necessary to deglaze the </t>
  </si>
  <si>
    <t>Sweet Potatoes (orange-</t>
  </si>
  <si>
    <t>116 each</t>
  </si>
  <si>
    <t>149 each</t>
  </si>
  <si>
    <t>165 each</t>
  </si>
  <si>
    <t>dish with a little chicken broth.</t>
  </si>
  <si>
    <t>fleshed)</t>
  </si>
  <si>
    <t xml:space="preserve">Pour the pureed vegetables into the pot with the </t>
  </si>
  <si>
    <t>Onion (large, chopped)</t>
  </si>
  <si>
    <t>onions, and stir in as much additional chicken stock as</t>
  </si>
  <si>
    <t>needed to achieve the desired consistency.</t>
  </si>
  <si>
    <t>11 gallons</t>
  </si>
  <si>
    <t>14 gallons</t>
  </si>
  <si>
    <t>15 1/2 gallons</t>
  </si>
  <si>
    <t>Heat through.</t>
  </si>
  <si>
    <t>Calories: 197</t>
  </si>
  <si>
    <t>Total Fat: 5.5 g</t>
  </si>
  <si>
    <t>Saturated Fat: 1 g</t>
  </si>
  <si>
    <t>Sodium: 282 mg</t>
  </si>
  <si>
    <t>Carbohydrate: 37 g</t>
  </si>
  <si>
    <t>Protein: 4.7 g</t>
  </si>
  <si>
    <t>Vitamin A: 33346 IU</t>
  </si>
  <si>
    <t>Vitamin C: 37 mg</t>
  </si>
  <si>
    <t>Calcium: 118 mg</t>
  </si>
  <si>
    <t>Shrimp (peeled, deveined)</t>
  </si>
  <si>
    <t>33 pounds</t>
  </si>
  <si>
    <t>Season shrimp and fish with salt, pepper, and</t>
  </si>
  <si>
    <t>cayenne to taste and set aside.</t>
  </si>
  <si>
    <t>Fish Filets (chopped)</t>
  </si>
  <si>
    <t>Heat oil in a large pot over medium heat.</t>
  </si>
  <si>
    <t>Add okra and sauté for 30 minutes, stirring</t>
  </si>
  <si>
    <t>Sausage (chopped)</t>
  </si>
  <si>
    <t>occasionally.</t>
  </si>
  <si>
    <t>Add tomato paste, tomato, onion, garlic, celery and</t>
  </si>
  <si>
    <t>green bell pepper and sauté for 15 minutes more.</t>
  </si>
  <si>
    <t>Add water and season to taste.</t>
  </si>
  <si>
    <t>Bring to boil, reduce heat to low and simmer for 45</t>
  </si>
  <si>
    <t>8 1/3 cups</t>
  </si>
  <si>
    <t>16 2/3 cups</t>
  </si>
  <si>
    <t>25 cups</t>
  </si>
  <si>
    <t>Add meat and simmer for 20 more minutes.</t>
  </si>
  <si>
    <t>Finally, add the green onion and stir thoroughly.</t>
  </si>
  <si>
    <t>Okra (chopped)</t>
  </si>
  <si>
    <t>66 pounds</t>
  </si>
  <si>
    <t>99 pounds</t>
  </si>
  <si>
    <t>Serve over rice.</t>
  </si>
  <si>
    <t>2 cups + 2 Tbsp</t>
  </si>
  <si>
    <t>3 cups + 3 Tbsp</t>
  </si>
  <si>
    <t>Tomato (chopped)</t>
  </si>
  <si>
    <t>16 1/2 each</t>
  </si>
  <si>
    <t>33 each</t>
  </si>
  <si>
    <t>49 1/2 each</t>
  </si>
  <si>
    <t>60 pounds</t>
  </si>
  <si>
    <t>33 1/3 cups</t>
  </si>
  <si>
    <t>50 cups</t>
  </si>
  <si>
    <t>Garlic Clove (minced)</t>
  </si>
  <si>
    <t>66 1/2 each</t>
  </si>
  <si>
    <t>133 each</t>
  </si>
  <si>
    <t>199 1/2 each</t>
  </si>
  <si>
    <t>Green Bell Pepper (chopped)</t>
  </si>
  <si>
    <t>25 gallons</t>
  </si>
  <si>
    <t>37 1/2 gallons</t>
  </si>
  <si>
    <t>Green Onions (chopped)</t>
  </si>
  <si>
    <t>Total Fat: 20.9 g</t>
  </si>
  <si>
    <t>Saturated Fat: 3 g</t>
  </si>
  <si>
    <t>Cholesterol: 230 mg</t>
  </si>
  <si>
    <t>Sodium: 270 mg</t>
  </si>
  <si>
    <t>Carbohydrate: 18.1 g</t>
  </si>
  <si>
    <t>Dietary Fiber: 6.3 g</t>
  </si>
  <si>
    <t>Protein: 34.8 g</t>
  </si>
  <si>
    <t>Vitamin A: 1261 IU</t>
  </si>
  <si>
    <t>Vitamin C: 53 mg</t>
  </si>
  <si>
    <t>Calcium: 226 mg</t>
  </si>
  <si>
    <t>Iron: 5 mg</t>
  </si>
  <si>
    <t>Entrée or Side</t>
  </si>
  <si>
    <t>4 ounces (1/2 cup)</t>
  </si>
  <si>
    <t>96 Servings</t>
  </si>
  <si>
    <t>Garbanzo Beans (drained,</t>
  </si>
  <si>
    <t>16 pounds</t>
  </si>
  <si>
    <t>37 1/2 pounds</t>
  </si>
  <si>
    <t>50 pounds</t>
  </si>
  <si>
    <t>Combine all ingredients in a food processor or VCM</t>
  </si>
  <si>
    <t>rinsed, low sodium)</t>
  </si>
  <si>
    <t>(3.75 #10 Cans)</t>
  </si>
  <si>
    <t>(8.75 #10 Cans)</t>
  </si>
  <si>
    <t>(11.7 #10 Cans)</t>
  </si>
  <si>
    <t>and puree to a smooth consistency.</t>
  </si>
  <si>
    <t>18 3/4 cups</t>
  </si>
  <si>
    <t>Spread 5 pounds of mixture into each 12"x20"x2.5"</t>
  </si>
  <si>
    <t>pan; use 4 pans for 96 portions.</t>
  </si>
  <si>
    <t>Option: sprinkle with light dash of paprika or cayenne</t>
  </si>
  <si>
    <t>pepper for color.</t>
  </si>
  <si>
    <r>
      <t>CCP: Chill to 41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or lower within two hours.</t>
    </r>
  </si>
  <si>
    <t>Refrigerate until service.</t>
  </si>
  <si>
    <t>Portion with a No. 8 scoop.</t>
  </si>
  <si>
    <t>CCP: Hold at 41° F or below before and during</t>
  </si>
  <si>
    <t>service.</t>
  </si>
  <si>
    <t>NOTES: If tahini is available, add 3 cups for 100 svgs.</t>
  </si>
  <si>
    <t>Jalapeno Pepper</t>
  </si>
  <si>
    <t>12 1/2 cups</t>
  </si>
  <si>
    <t xml:space="preserve">             Additional cayenne pepper and/or jalapeno</t>
  </si>
  <si>
    <t xml:space="preserve">             pepper may be added if desired.</t>
  </si>
  <si>
    <t>Red Bell Pepper</t>
  </si>
  <si>
    <t>Calories: 167</t>
  </si>
  <si>
    <t>Total Fat: 8.6 g</t>
  </si>
  <si>
    <t>Sodium: 189 mg</t>
  </si>
  <si>
    <t>Carbohydrate: 19.3 g</t>
  </si>
  <si>
    <t>Protein: 5.3 g</t>
  </si>
  <si>
    <t>Vitamin A: 464 IU</t>
  </si>
  <si>
    <t>Vitamin C: 13.3 mg</t>
  </si>
  <si>
    <t>Calcium: 37.4 mg</t>
  </si>
  <si>
    <t>Iron: 1.1 mg</t>
  </si>
  <si>
    <t>Green Lentils</t>
  </si>
  <si>
    <t>1 1/3 pounds</t>
  </si>
  <si>
    <t>1 1/2 pounds</t>
  </si>
  <si>
    <t>1 7/8 pounds</t>
  </si>
  <si>
    <t>For lentil puree: Place the lentils on a sheet pan to</t>
  </si>
  <si>
    <t>quickly sort through them for any rocks. Place into a</t>
  </si>
  <si>
    <t>7/8 gallon</t>
  </si>
  <si>
    <t>colander and rinse well.</t>
  </si>
  <si>
    <t>In a stockpot, place the lentils, water, and seasonings</t>
  </si>
  <si>
    <t>(listed before ground beef on ingredient list) together</t>
  </si>
  <si>
    <t>and mix well. Bring to simmer and allow to cook for</t>
  </si>
  <si>
    <t>7/8 tsp</t>
  </si>
  <si>
    <t>30-45 minutes, stirring occasionally.</t>
  </si>
  <si>
    <t>Once lentils are tender, blend well using an</t>
  </si>
  <si>
    <t>immersion blender. Keep hot if adding taco meat.</t>
  </si>
  <si>
    <r>
      <t>Otherwise, cool rapidly to below 41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and place 1</t>
    </r>
  </si>
  <si>
    <t>quart of puree into freezer bags per 50 servings.</t>
  </si>
  <si>
    <t>For taco meat: Brown ground beef in skillet or large</t>
  </si>
  <si>
    <t>stockpot. Drain fat.</t>
  </si>
  <si>
    <t>Add tomato paste, water, lentils, and spices (listed</t>
  </si>
  <si>
    <t>below ground beef on ingredient list). Mix well.</t>
  </si>
  <si>
    <t>Add the lentil puree and mix well.</t>
  </si>
  <si>
    <t>5 1/4 quarts</t>
  </si>
  <si>
    <t>7 1/2 quarts</t>
  </si>
  <si>
    <t>Cover and allow to simmer over medium-low heat</t>
  </si>
  <si>
    <t>for at least 1 hour or until lentils are tender and</t>
  </si>
  <si>
    <t>3 3/4 pounds</t>
  </si>
  <si>
    <t>mixture reaches 165° F.</t>
  </si>
  <si>
    <t>Taste and adjust seasonings (outside of salt). Keep</t>
  </si>
  <si>
    <t>8 3/4 Tbsp</t>
  </si>
  <si>
    <t>above 135° F for service.</t>
  </si>
  <si>
    <t>Paprika (ground)</t>
  </si>
  <si>
    <t>Calories: 114</t>
  </si>
  <si>
    <t>Total Fat: 5.34 g</t>
  </si>
  <si>
    <t>Cholesterol: 23.13 mg</t>
  </si>
  <si>
    <t>Sodium: 229 mg</t>
  </si>
  <si>
    <t>Carbohydrate: 7.16 g</t>
  </si>
  <si>
    <t>Protein: 9 g</t>
  </si>
  <si>
    <t>Calcium: 18.3 mg</t>
  </si>
  <si>
    <t>Vitamin A: 406.87 IU</t>
  </si>
  <si>
    <t>Vitamin C: 0.98 mg</t>
  </si>
  <si>
    <t>Heat oil over medium heat and add onions and squash</t>
  </si>
  <si>
    <t>Sauté onion and squash until tender, about 10 min.</t>
  </si>
  <si>
    <t>Add the chili powder, cumin, and granulated garlic.</t>
  </si>
  <si>
    <t>Mix to combine. Remove from heat.</t>
  </si>
  <si>
    <t>Butternut Squash (1/2" diced)</t>
  </si>
  <si>
    <t>23 pounds</t>
  </si>
  <si>
    <t>26 1/2 pounds</t>
  </si>
  <si>
    <t>33 1/8 pounds</t>
  </si>
  <si>
    <t>Combine the pinto beans, corn, cheddar cheese, and</t>
  </si>
  <si>
    <t>enchilada sauce in a large mixing bowl. Add the onion</t>
  </si>
  <si>
    <t>and squash, and mix thoroughly.</t>
  </si>
  <si>
    <t>Prepare 12"x20"x2-1/2" pans by spraying lightly with</t>
  </si>
  <si>
    <t>5 1/3 Tbsp</t>
  </si>
  <si>
    <t>food release, and spread 10 ounces of enchilada</t>
  </si>
  <si>
    <t>sauce on the bottom of each pan.</t>
  </si>
  <si>
    <t>Steam the tortillas until soft and pliable. Using a 6 oz</t>
  </si>
  <si>
    <t>spoodle, or a combination of a number 8 and a</t>
  </si>
  <si>
    <t>Pinto Beans (canned,</t>
  </si>
  <si>
    <t>number 16 scoops, place 3/4 cup of the squash, bean</t>
  </si>
  <si>
    <t>and corn mixture in the center of a tortilla and roll up.</t>
  </si>
  <si>
    <t>Corn Kernels (thawed)</t>
  </si>
  <si>
    <t>Place the filled tortillas in the prepared 12"x20"x2-1/2"</t>
  </si>
  <si>
    <t>pan (each pan fits 10 enchiladas).</t>
  </si>
  <si>
    <t>Cheddar Cheese (reduced</t>
  </si>
  <si>
    <t>5 1/4 pounds</t>
  </si>
  <si>
    <t>7 1/2 pounds</t>
  </si>
  <si>
    <t>Pour 10 ounces of enchilada sauce evenly over the</t>
  </si>
  <si>
    <t>fat, shredded)</t>
  </si>
  <si>
    <t>top of the enchiladas. Spread sauce to cover the</t>
  </si>
  <si>
    <t>Tortillas (whole grain, 8")</t>
  </si>
  <si>
    <t>200 each</t>
  </si>
  <si>
    <t>entire tortilla.</t>
  </si>
  <si>
    <t>Top with the additional reduced fat cheddar cheese.</t>
  </si>
  <si>
    <t>Red Chili Enchilada Sauce</t>
  </si>
  <si>
    <t>175 ounces</t>
  </si>
  <si>
    <t>250 ounces</t>
  </si>
  <si>
    <r>
      <t>Cover tightly with foil. Bake in a 325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oven for 45</t>
    </r>
  </si>
  <si>
    <t>minutes. Internal temperature should be 135° F or</t>
  </si>
  <si>
    <t>above.</t>
  </si>
  <si>
    <t>CCP: Cook until internal temperature reaches 135° F</t>
  </si>
  <si>
    <t>or above.</t>
  </si>
  <si>
    <t>Let rest for 5 minutes before serving.</t>
  </si>
  <si>
    <t xml:space="preserve">CCP: Hold at or above 135° F before and during </t>
  </si>
  <si>
    <t>NOTE: Purchase amount of fresh squash for 200</t>
  </si>
  <si>
    <t>servings is 30 pounds 12 ounces.</t>
  </si>
  <si>
    <t>Calories: 312</t>
  </si>
  <si>
    <t>Cholesterol: 13.4 mg</t>
  </si>
  <si>
    <t>Sodium: 599 mg</t>
  </si>
  <si>
    <t>Carbohydrate: 45 g</t>
  </si>
  <si>
    <t>Dietary Fiber: 8.7 g</t>
  </si>
  <si>
    <t>Calcium: 327 mg</t>
  </si>
  <si>
    <t>Iron: 1.4 mg</t>
  </si>
  <si>
    <t>Vitamin A: 6399 IU</t>
  </si>
  <si>
    <t>Vitamin C: 14.5 mg</t>
  </si>
  <si>
    <t>260 Servings</t>
  </si>
  <si>
    <t>Clams (minced, canned)</t>
  </si>
  <si>
    <t>30 1/3 pounds</t>
  </si>
  <si>
    <t>39 1/2 pounds</t>
  </si>
  <si>
    <t>Drain juice from clams into a large skillet over the</t>
  </si>
  <si>
    <t>onions, celery, and potatoes. Add water to cover, and</t>
  </si>
  <si>
    <t>Onion (minced)</t>
  </si>
  <si>
    <t>5 quarts</t>
  </si>
  <si>
    <t>cook over medium heat until tender.</t>
  </si>
  <si>
    <t>Meanwhile, in a large, heavy saucepan, melt butter</t>
  </si>
  <si>
    <t>Celery (diced)</t>
  </si>
  <si>
    <t>over medium heat. Whisk in flour until smooth.</t>
  </si>
  <si>
    <t>Whisk in cream and milk and stir constantly until thick</t>
  </si>
  <si>
    <t>Potatoes (cubed)</t>
  </si>
  <si>
    <t>6 2/3 quarts</t>
  </si>
  <si>
    <t>10 quarts</t>
  </si>
  <si>
    <t>and smooth. Stir in vegetables and clam juice. Heat</t>
  </si>
  <si>
    <t>through, but do not boil.</t>
  </si>
  <si>
    <t>3/4 pound</t>
  </si>
  <si>
    <t>Stir in clams just before serving. If they cook too much</t>
  </si>
  <si>
    <t>they get tough. When clams are heated through, stir</t>
  </si>
  <si>
    <t>in seasonings.</t>
  </si>
  <si>
    <t>Cream</t>
  </si>
  <si>
    <t>84 cups</t>
  </si>
  <si>
    <t>96 cups</t>
  </si>
  <si>
    <t>125 cups</t>
  </si>
  <si>
    <t>Whole Milk</t>
  </si>
  <si>
    <t>4 1/2 gallons</t>
  </si>
  <si>
    <t>Ground Black Pepper</t>
  </si>
  <si>
    <t>Thyme</t>
  </si>
  <si>
    <t>Broth</t>
  </si>
  <si>
    <t>Stock (not hydrated)</t>
  </si>
  <si>
    <t>1/3 container</t>
  </si>
  <si>
    <t>little more than 1/3 container</t>
  </si>
  <si>
    <t>1/2 container</t>
  </si>
  <si>
    <t>Calories: 501</t>
  </si>
  <si>
    <t>Total Fat: 32.7 g</t>
  </si>
  <si>
    <t>Saturated Fat: 20 g</t>
  </si>
  <si>
    <t>Cholesterol: 137 mg</t>
  </si>
  <si>
    <t>Sodium: 712 mg</t>
  </si>
  <si>
    <t>Carbohydrate: 28.4 g</t>
  </si>
  <si>
    <t>Protein: 23.9 g</t>
  </si>
  <si>
    <t>Calcium: 218 mg</t>
  </si>
  <si>
    <t>Iron: 20 mg</t>
  </si>
  <si>
    <t>Vitamin A: 4116 IU</t>
  </si>
  <si>
    <t>Vitamin C: 27 mg</t>
  </si>
  <si>
    <t>1 Sandwich (2.5 oz meat/onion/pepper topped w/1 oz cheese)</t>
  </si>
  <si>
    <t>165 Servings</t>
  </si>
  <si>
    <r>
      <t xml:space="preserve">Beef (eye of round) </t>
    </r>
    <r>
      <rPr>
        <sz val="11"/>
        <color rgb="FFFF0000"/>
        <rFont val="Arial"/>
        <family val="2"/>
      </rPr>
      <t>or</t>
    </r>
  </si>
  <si>
    <t>43 pounds</t>
  </si>
  <si>
    <t>65 pounds</t>
  </si>
  <si>
    <t>Trim and remove silver skin from the beef.</t>
  </si>
  <si>
    <t>Presliced Cooked Roast Beef</t>
  </si>
  <si>
    <t>38 pounds</t>
  </si>
  <si>
    <t>47 pounds</t>
  </si>
  <si>
    <t>Slice beef.</t>
  </si>
  <si>
    <t>Nacho Cheese Sauce</t>
  </si>
  <si>
    <t>17 1/3 pounds</t>
  </si>
  <si>
    <t>Make cheese sauce.</t>
  </si>
  <si>
    <t>Place beef in freezer for at least an hour to aid in</t>
  </si>
  <si>
    <t>slicing.</t>
  </si>
  <si>
    <t>Slice very thin.</t>
  </si>
  <si>
    <t>4 3/4 Tbsp</t>
  </si>
  <si>
    <t>Caramelize sliced onions and peppers in tilt skillet</t>
  </si>
  <si>
    <t>with oil, salt, pepper, and garlic powder. Set aside.</t>
  </si>
  <si>
    <t>Cook sliced meat in skillet for a few minutes. Add</t>
  </si>
  <si>
    <t>onion and peppers.</t>
  </si>
  <si>
    <t>Hoagie Roll (2 ounce each)</t>
  </si>
  <si>
    <t>Place beef/onion mix in hotel pans.</t>
  </si>
  <si>
    <t>Serve 2.5 ounces beef mix on hoagie and top with</t>
  </si>
  <si>
    <t>Yellow Onion (sliced)</t>
  </si>
  <si>
    <t>4 3/4 pounds</t>
  </si>
  <si>
    <t>1 ounce of nacho cheese.</t>
  </si>
  <si>
    <t>*NOTE: Can increase onion and peppers to increase</t>
  </si>
  <si>
    <t>Peppers (sliced)</t>
  </si>
  <si>
    <t>recipe portions without additional cost of more meat.</t>
  </si>
  <si>
    <t>Calories: 424</t>
  </si>
  <si>
    <t>Total Fat: 8.34 g</t>
  </si>
  <si>
    <t>Cholesterol: 49.2 mg</t>
  </si>
  <si>
    <t>Sodium: 885.8 mg</t>
  </si>
  <si>
    <t>Carbohydrate: 54 g</t>
  </si>
  <si>
    <t>Protein: 31.8 g</t>
  </si>
  <si>
    <t>Calcium: 68.4 mg</t>
  </si>
  <si>
    <t>Iron: 3.38 mg</t>
  </si>
  <si>
    <t>Vitamin A: 156.1 IU</t>
  </si>
  <si>
    <t>Vitamin C: 1.25 mg</t>
  </si>
  <si>
    <t>In a large pot, heat the oil over moderate heat.</t>
  </si>
  <si>
    <t>Add onion and sauté for 5 minutes. Add garlic, ginger,</t>
  </si>
  <si>
    <t>lemongrass, and curry paste and cook for 3 minutes.</t>
  </si>
  <si>
    <t>Add the pumpkin puree and broth, stirring to</t>
  </si>
  <si>
    <t>58 each</t>
  </si>
  <si>
    <t>66 each</t>
  </si>
  <si>
    <t>82 each</t>
  </si>
  <si>
    <t>incorporate, then season with salt, and bring to boil.</t>
  </si>
  <si>
    <t>Reduce heat to low and simmer 20 minutes. Stir in</t>
  </si>
  <si>
    <t>Ginger (freshly grated)</t>
  </si>
  <si>
    <t>coconut milk and lime juice and let cool for 10 minutes.</t>
  </si>
  <si>
    <t>Transfer soup to a blender (or use an immersion</t>
  </si>
  <si>
    <t>Lemongrass (bruised)</t>
  </si>
  <si>
    <t>29 stalks</t>
  </si>
  <si>
    <t>33 stalks</t>
  </si>
  <si>
    <t>41 stalks</t>
  </si>
  <si>
    <t>blender in the pot) and puree until smooth. If needed,</t>
  </si>
  <si>
    <t>add additional water or broth to reach the desired</t>
  </si>
  <si>
    <t>Thai Red Curry Paste</t>
  </si>
  <si>
    <t>consistency. Return mixture to pan. Serve warm and</t>
  </si>
  <si>
    <t>garnish with fresh cilantro and thinly sliced Fresno</t>
  </si>
  <si>
    <t>Pumpkin Puree (15-oz can)</t>
  </si>
  <si>
    <t>chiles (optional).</t>
  </si>
  <si>
    <t>Low-Sodium Vegetable Broth</t>
  </si>
  <si>
    <t>3 1/2 gallons</t>
  </si>
  <si>
    <t>Unsweetened Coconut Milk</t>
  </si>
  <si>
    <t>(14-oz can)</t>
  </si>
  <si>
    <t>Cilantro (fresh for garnish,</t>
  </si>
  <si>
    <t>1 Bunch</t>
  </si>
  <si>
    <t>optional)</t>
  </si>
  <si>
    <t>Fresno Chile (thinly sliced for</t>
  </si>
  <si>
    <t>24 each</t>
  </si>
  <si>
    <t>garnish, optional)</t>
  </si>
  <si>
    <t>Calories: 202</t>
  </si>
  <si>
    <t>Total Fat: 13.1 g</t>
  </si>
  <si>
    <t>Sodium: 550 mg</t>
  </si>
  <si>
    <t>Carbohydrate: 21.5 g</t>
  </si>
  <si>
    <t>Protein: 4.4 g</t>
  </si>
  <si>
    <t>Calcium: 91.7 mg</t>
  </si>
  <si>
    <t>Iron: 5.4 mg</t>
  </si>
  <si>
    <t>Vitamin A: 16954 IU</t>
  </si>
  <si>
    <t>Vitamin C: 46.9 mg</t>
  </si>
  <si>
    <t>1 Wrap - Cut in Half</t>
  </si>
  <si>
    <t>10" Tortilla</t>
  </si>
  <si>
    <t>Use Robo Coup to grate carrots, red cabbage, and red onion (grater blade).</t>
  </si>
  <si>
    <t>Combine carrots, red cabbage, and red onion to make veggie medley.</t>
  </si>
  <si>
    <t>Cream Cheese (light)</t>
  </si>
  <si>
    <t>8 ounces</t>
  </si>
  <si>
    <t>Take 10" tortilla and spread 1 tsp of cream cheese on one side.</t>
  </si>
  <si>
    <t>Fill tortilla with 1/4 cup of veggie medley, 1 cup spring mix, 1 Tbsp caesar</t>
  </si>
  <si>
    <t>Carrot</t>
  </si>
  <si>
    <t>dressing, 3 ounces of chicken breast, and 1 additional Tbsp caesar</t>
  </si>
  <si>
    <t>dressing.</t>
  </si>
  <si>
    <t>Red Cabbage</t>
  </si>
  <si>
    <t>1 1/8 lbs</t>
  </si>
  <si>
    <t>Roll tortilla from the non-cream cheese side as tightly as possible.</t>
  </si>
  <si>
    <t>Cut diagonally to make two even pieces.</t>
  </si>
  <si>
    <t>1/3 lb</t>
  </si>
  <si>
    <t>2/3 lbs</t>
  </si>
  <si>
    <t>Serve one full wrap - two pieces.</t>
  </si>
  <si>
    <t>Spring Mix</t>
  </si>
  <si>
    <t>Pilgram's Pride Cold</t>
  </si>
  <si>
    <t>25 Patties</t>
  </si>
  <si>
    <t>50 Patties</t>
  </si>
  <si>
    <t>Breaded Chicken Breast</t>
  </si>
  <si>
    <t>Caesar Dressing (Recipe</t>
  </si>
  <si>
    <t>3 1/8 cups</t>
  </si>
  <si>
    <t>400)</t>
  </si>
  <si>
    <t>Calories: 404</t>
  </si>
  <si>
    <t>Total Fat:  8.6 g</t>
  </si>
  <si>
    <t>Sodium: 1306 mg</t>
  </si>
  <si>
    <t>Carbohydrate: 51.5 g</t>
  </si>
  <si>
    <t>Protein: 30.9 g</t>
  </si>
  <si>
    <t>Calcium: 252 mg</t>
  </si>
  <si>
    <t>Potassium: 135 mg</t>
  </si>
  <si>
    <t>Total Sugars: 4.2 g</t>
  </si>
  <si>
    <t>Sautee sofrito (onion, bell pepper, poblanos, cilantro</t>
  </si>
  <si>
    <t>and garlic in tilt skillet.</t>
  </si>
  <si>
    <t>Bell Pepper (chopped)</t>
  </si>
  <si>
    <t xml:space="preserve">Add rest of the ingredients, minus diced potatoes and </t>
  </si>
  <si>
    <t>peppers, and bring to simmer.</t>
  </si>
  <si>
    <t>Poblano Peppers (chopped)</t>
  </si>
  <si>
    <t>3 1/2 each</t>
  </si>
  <si>
    <t>4 1/4 each</t>
  </si>
  <si>
    <t>Add potatoes and peppers and let simmer for</t>
  </si>
  <si>
    <t>45 minutes.</t>
  </si>
  <si>
    <t>Cilantro (chopped)</t>
  </si>
  <si>
    <t>Prepare rice using Recipe 216.</t>
  </si>
  <si>
    <t>Serve over 6 oz rice.</t>
  </si>
  <si>
    <t>Cajun Spice</t>
  </si>
  <si>
    <t>1/3 cup + 2 1/4 Tbsp</t>
  </si>
  <si>
    <t>3/4 cup + 1 Tbsp</t>
  </si>
  <si>
    <t xml:space="preserve">Kidney/Pinto Beans (#10 </t>
  </si>
  <si>
    <t>13 1/2 each</t>
  </si>
  <si>
    <t>cans, not drained)</t>
  </si>
  <si>
    <t>Potato (medium, diced)</t>
  </si>
  <si>
    <t>Bell Pepper (medium, diced)</t>
  </si>
  <si>
    <t>5 3/4 each</t>
  </si>
  <si>
    <t>8 1/4 each</t>
  </si>
  <si>
    <t>Tomato Paste (can)</t>
  </si>
  <si>
    <t>2/3 each + 11 oz</t>
  </si>
  <si>
    <t>3/4 each + 8 oz</t>
  </si>
  <si>
    <t>2 2/3 gallons</t>
  </si>
  <si>
    <t>27 pounds + 6 3/4 oz</t>
  </si>
  <si>
    <t>38 1/3 lbs</t>
  </si>
  <si>
    <t>5 3/4 gallons</t>
  </si>
  <si>
    <t>Calories: 356.8</t>
  </si>
  <si>
    <t>Total Fat: 2 g</t>
  </si>
  <si>
    <t>Saturated Fat: 0.07 g</t>
  </si>
  <si>
    <t>Sodium: 701 mg</t>
  </si>
  <si>
    <t>Total Carbohydrate: 69.6 g</t>
  </si>
  <si>
    <t>Dietary Fiber: 9.5 g</t>
  </si>
  <si>
    <t>Vitamin A: 164 IU</t>
  </si>
  <si>
    <t>Protein: 14.5 g</t>
  </si>
  <si>
    <t>Vitamin C: 9.4 mg</t>
  </si>
  <si>
    <t>Calcium: 61 mg</t>
  </si>
  <si>
    <t>Sugars: 2.3 g</t>
  </si>
  <si>
    <t>Potassium: 889.5 mg</t>
  </si>
  <si>
    <t>Water: 21.5 g</t>
  </si>
  <si>
    <t>Added Sugars: 0.3 g</t>
  </si>
  <si>
    <t>Peanut Butter</t>
  </si>
  <si>
    <t>12 1/2 lbs</t>
  </si>
  <si>
    <t>37 1/2 lbs</t>
  </si>
  <si>
    <t>Spread 2 ounces of peaut butter on slice of bread.</t>
  </si>
  <si>
    <t>Spread 1 ounce of grape jelly on second slice of</t>
  </si>
  <si>
    <t>Welch's Grape Jelly</t>
  </si>
  <si>
    <t>6 1/4 lbs</t>
  </si>
  <si>
    <t>18 3/4 lbs</t>
  </si>
  <si>
    <t>bread.  Put sandwich together and wrap to keep</t>
  </si>
  <si>
    <t>fresh if holding or putting into vending.</t>
  </si>
  <si>
    <t>Enriched Bread (26 g/slice)</t>
  </si>
  <si>
    <t>Calories: 547.5</t>
  </si>
  <si>
    <t>Total Fat: 30 g</t>
  </si>
  <si>
    <t>Saturated Fat: 6.2 g</t>
  </si>
  <si>
    <t>Sodium: 505.77 mg</t>
  </si>
  <si>
    <t>Total Carbohydrate: 55 g</t>
  </si>
  <si>
    <t>Calcium: 40 mg</t>
  </si>
  <si>
    <t>Sugars: 21.5 g</t>
  </si>
  <si>
    <t>Potassium: 166.5 mg</t>
  </si>
  <si>
    <t>HS Svg: 10 pieces (4.3 oz)</t>
  </si>
  <si>
    <t>Elementary Svg:  5 pieces (2.15 oz)</t>
  </si>
  <si>
    <t>100-10 pc Servings</t>
  </si>
  <si>
    <t>200-10 pc Servings</t>
  </si>
  <si>
    <t>300-10 pc Servings</t>
  </si>
  <si>
    <t>Cost/10-pc Serving Data</t>
  </si>
  <si>
    <t>200-5 pc Servings</t>
  </si>
  <si>
    <t>400-5 pc Servings</t>
  </si>
  <si>
    <t>600-5 pc Servings</t>
  </si>
  <si>
    <t>Popcorn Chicken Smackers</t>
  </si>
  <si>
    <t>26 7/8 lbs</t>
  </si>
  <si>
    <t>53 3/4 lbs</t>
  </si>
  <si>
    <t>80 5/8 lbs</t>
  </si>
  <si>
    <t>Preheat oven to 350* F.</t>
  </si>
  <si>
    <t>Conventional Oven: Place frozen chicken pieces in a</t>
  </si>
  <si>
    <t>single layer on an ungreased baking sheet. Bake</t>
  </si>
  <si>
    <t>uncovered for 30 minutes.</t>
  </si>
  <si>
    <t>Convection Oven: Place frozen chicken pieces in a</t>
  </si>
  <si>
    <t>uncovered for 14 minutes.</t>
  </si>
  <si>
    <t>Insert a meat thermometer into the thickest portion</t>
  </si>
  <si>
    <t>of the product. Continue heating until the internal</t>
  </si>
  <si>
    <t>temperature reaches 165* F.</t>
  </si>
  <si>
    <t>Meal Pattern Contribution - 10 Piece Serving</t>
  </si>
  <si>
    <t>Nutrient Analysis - 10 Piece Serving</t>
  </si>
  <si>
    <t>Calories: 240</t>
  </si>
  <si>
    <t>Total Fat: 11 g</t>
  </si>
  <si>
    <t>Sodium: 569.5 mg</t>
  </si>
  <si>
    <t>Total Carbohydrate: 16 g</t>
  </si>
  <si>
    <t>Vitamin A: 100 IU</t>
  </si>
  <si>
    <t>Calcium: 20 mg</t>
  </si>
  <si>
    <t>Sugars: 0 g</t>
  </si>
  <si>
    <t>Potassium: 516.5 mg</t>
  </si>
  <si>
    <t>Meal Pattern Contribution - 5 Piece Serving</t>
  </si>
  <si>
    <t>Nutrient Analysis - 5 Piece Serving</t>
  </si>
  <si>
    <t>Calories: 120</t>
  </si>
  <si>
    <t>Cholesterol: 40 mg</t>
  </si>
  <si>
    <t>Sodium: 285 mg</t>
  </si>
  <si>
    <t>Total Carbohydrate: 8 g</t>
  </si>
  <si>
    <t>Dietary Fiber: 1.5 g</t>
  </si>
  <si>
    <t>Vitamin A: 50 IU</t>
  </si>
  <si>
    <t>Calcium: 10 mg</t>
  </si>
  <si>
    <t>Potassium: 258 mg</t>
  </si>
  <si>
    <t>10 Servings</t>
  </si>
  <si>
    <t>Romaine Lettuce (shredded)</t>
  </si>
  <si>
    <t>Thoroughly wash romaine, tomatoes, peppers, and cucumbers. Shred romaine, dice tomatoes,</t>
  </si>
  <si>
    <t>slice peppers, and cucumbers.</t>
  </si>
  <si>
    <t>Put 2 cups of romaine in serving container. Top with 1/4 cup diced tomatoes, 1/4 cup sliced</t>
  </si>
  <si>
    <t>peppers, 1/4 cup cucumber slices, 1/2 cup croutons, and 1 ounce of shredded parmesan.</t>
  </si>
  <si>
    <t>Serve 1 ounce of Caesar dressing on the side.</t>
  </si>
  <si>
    <t>2 cups romaine = 1 cup NSLP</t>
  </si>
  <si>
    <t>Cucumber (sliced)</t>
  </si>
  <si>
    <t>Croutons</t>
  </si>
  <si>
    <t>Chicken (cooked, cubed)</t>
  </si>
  <si>
    <t>1 lb 6 1/2 oz</t>
  </si>
  <si>
    <t>Nutrient Analysis w/o Dressing</t>
  </si>
  <si>
    <t>Calories: 210.5</t>
  </si>
  <si>
    <t>Cholesterol: 28 mg</t>
  </si>
  <si>
    <t>Sodium: 592.5 mg</t>
  </si>
  <si>
    <t>Total Carbohydrate: 18.8 g</t>
  </si>
  <si>
    <t>Vitamin A: 9151 IU</t>
  </si>
  <si>
    <t>Protein: 16 g</t>
  </si>
  <si>
    <t>Vitamin C: 66 mg</t>
  </si>
  <si>
    <t>Calcium: 398.8 mg</t>
  </si>
  <si>
    <t>Potassium: 409.6 mg</t>
  </si>
  <si>
    <t>Ash: 0.9 g</t>
  </si>
  <si>
    <t>Water: 141.6 g</t>
  </si>
  <si>
    <t>Spring Mix Lettuce</t>
  </si>
  <si>
    <t>Thoroughly wash tomatoes, peppers, and cucumbers. Dice tomatoes,</t>
  </si>
  <si>
    <t>Cheddar Jack Cheese</t>
  </si>
  <si>
    <t>Put 2 cups of spring mix in serving container. Top with 1/4 cup diced tomatoes, 1/4 cup sliced</t>
  </si>
  <si>
    <t>peppers, 1/4 cup cucumber slices, 1/2 cup croutons, and 1 ounce of shredded cheese.</t>
  </si>
  <si>
    <t>Serve 1 ounce of dressing on the side.</t>
  </si>
  <si>
    <t>2 cups lettuce = 1 cup NSLP</t>
  </si>
  <si>
    <t>Choice of Dressing</t>
  </si>
  <si>
    <t>Calories: 214</t>
  </si>
  <si>
    <t>Saturated Fat: 5 g</t>
  </si>
  <si>
    <t>Cholesterol: 25 mg</t>
  </si>
  <si>
    <t>Sodium: 413 mg</t>
  </si>
  <si>
    <t>Total Carbohydrate: 19 g</t>
  </si>
  <si>
    <t>Dietary Fiber: 4 g</t>
  </si>
  <si>
    <t>Vitamin A: 4951 IU</t>
  </si>
  <si>
    <t>Protein: 12.8 g</t>
  </si>
  <si>
    <t>Vitamin C: 60.5 mg</t>
  </si>
  <si>
    <t>Calcium: 265.5 mg</t>
  </si>
  <si>
    <t>Potassium: 205.7 mg</t>
  </si>
  <si>
    <t>Ash: 0.4 g</t>
  </si>
  <si>
    <t>Water: 55.7 g</t>
  </si>
  <si>
    <t>1 Roll</t>
  </si>
  <si>
    <t>45 Servings - 2.7 oz</t>
  </si>
  <si>
    <t>90 Servings - 2.7 oz</t>
  </si>
  <si>
    <t>Dissolve dry yeast and sugar in warm water. Let stand for 4-5 minutes.</t>
  </si>
  <si>
    <r>
      <t>Water (68</t>
    </r>
    <r>
      <rPr>
        <sz val="10"/>
        <color theme="1"/>
        <rFont val="Calibri"/>
        <family val="2"/>
      </rPr>
      <t>°</t>
    </r>
    <r>
      <rPr>
        <sz val="10.3"/>
        <color theme="1"/>
        <rFont val="Arial"/>
        <family val="2"/>
      </rPr>
      <t xml:space="preserve"> - 110</t>
    </r>
    <r>
      <rPr>
        <sz val="10.3"/>
        <color theme="1"/>
        <rFont val="Calibri"/>
        <family val="2"/>
      </rPr>
      <t>°</t>
    </r>
    <r>
      <rPr>
        <sz val="10.6"/>
        <color theme="1"/>
        <rFont val="Arial"/>
        <family val="2"/>
      </rPr>
      <t>)</t>
    </r>
  </si>
  <si>
    <t>Add powdered milk, oil, flour, and salt, mix 8-10 minutes until dough is</t>
  </si>
  <si>
    <t>smooth.</t>
  </si>
  <si>
    <t>Pull and divide evenly into 2 (if large batch) oiled plastic cambros.</t>
  </si>
  <si>
    <t>Proof at least 30 minutes.</t>
  </si>
  <si>
    <t>Roll out on floured table. Oil top of dough, leaving one inch on the</t>
  </si>
  <si>
    <t>bottom dry.</t>
  </si>
  <si>
    <t>Weigh 6 3/8 ounces of brown sugar, drop on dough.</t>
  </si>
  <si>
    <t>Weigh 11 1/2 ounces cinnamon sugar (see below), mix and cover all</t>
  </si>
  <si>
    <t>oiled section of dough.</t>
  </si>
  <si>
    <t>Mist with water.</t>
  </si>
  <si>
    <t>Powdered Milk</t>
  </si>
  <si>
    <t>Roll and cut into 2.6-2.8 ounce rolls.  Proof 20 minutes.</t>
  </si>
  <si>
    <t>Bake 10 to 11 minutes at 325° F.</t>
  </si>
  <si>
    <t>Cinnamon:Sugar = 1:5 parts ratio</t>
  </si>
  <si>
    <t>Ground Cinnamon</t>
  </si>
  <si>
    <t>1 ounce</t>
  </si>
  <si>
    <t>1 7/8 ounces</t>
  </si>
  <si>
    <t>Icing</t>
  </si>
  <si>
    <t>1/2 cup 2% milk</t>
  </si>
  <si>
    <t>6 3/8 ounces</t>
  </si>
  <si>
    <t>12 3/4 ounces</t>
  </si>
  <si>
    <t>16 oz (large plastic container) powdered sugar</t>
  </si>
  <si>
    <t>1 Tbsp butter</t>
  </si>
  <si>
    <t>Raisins (for HS only)</t>
  </si>
  <si>
    <t>White Sugar for Cinnamon:</t>
  </si>
  <si>
    <t>4 3/4 ounces</t>
  </si>
  <si>
    <t>9 1/2 ounces</t>
  </si>
  <si>
    <t>Sugar Mix</t>
  </si>
  <si>
    <t>w/Raisins</t>
  </si>
  <si>
    <t>w/o Raisins</t>
  </si>
  <si>
    <t>Calories: 220</t>
  </si>
  <si>
    <t>Total Fat: 4.867 g</t>
  </si>
  <si>
    <t>Saturated Fat: 0.347 g</t>
  </si>
  <si>
    <t>Cholesterol: 0.453 mg</t>
  </si>
  <si>
    <t>Sodium: 267.7 mg</t>
  </si>
  <si>
    <t>Total Carbohydrate: 41.6 g</t>
  </si>
  <si>
    <t>Dietary Fiber: 3.85 g</t>
  </si>
  <si>
    <t>Iron: 0.9 mg</t>
  </si>
  <si>
    <t>Vitamin A: 45.3 IU</t>
  </si>
  <si>
    <t>Protein: 5.7 g</t>
  </si>
  <si>
    <t>Vitamin C: 0.1087 mg</t>
  </si>
  <si>
    <t>Calcium: 27 mg</t>
  </si>
  <si>
    <t>Sugars: 14 g</t>
  </si>
  <si>
    <t>Vitamin D: 0.45 mcg</t>
  </si>
  <si>
    <t>Potassium: 31 mg</t>
  </si>
  <si>
    <t>Ash: 0.0173 g</t>
  </si>
  <si>
    <t>Water: 0.0345 g</t>
  </si>
  <si>
    <t>1 Parfait</t>
  </si>
  <si>
    <t>Low-fat Vanilla Yogurt</t>
  </si>
  <si>
    <t>Wash and inspect strawberries and blueberries for spoilage if using fresh.</t>
  </si>
  <si>
    <t>Remove stems of strawberries and slice into small pieces.</t>
  </si>
  <si>
    <t>Strawberries (raw, fresh or</t>
  </si>
  <si>
    <t>2 pounds 6 1/8 oz</t>
  </si>
  <si>
    <t>4 pounds 12 1/4 oz</t>
  </si>
  <si>
    <t>In a 10 ounce clear cup, portion 1/4 cup of blueberries into the bottom of</t>
  </si>
  <si>
    <t>frozen)</t>
  </si>
  <si>
    <t>the cup.</t>
  </si>
  <si>
    <t>Blueberries (raw, fresh or</t>
  </si>
  <si>
    <t>2 pounds 1 5/8 oz</t>
  </si>
  <si>
    <t>4 pounds 3 1/4 oz</t>
  </si>
  <si>
    <t>Portion 1/2 cup of vanilla yogurt on top of the blueberries.</t>
  </si>
  <si>
    <t>Portion 1/4 cup of sliced strawberries on top of the vanilla yogurt.</t>
  </si>
  <si>
    <t>Granola Cinnamon Cereal</t>
  </si>
  <si>
    <t>1 pound 9 ounces</t>
  </si>
  <si>
    <t>3 pounds 2 ounces</t>
  </si>
  <si>
    <t>Using a 1 ounce spoodle, portion granola on top of the sliced strawberries.</t>
  </si>
  <si>
    <t>(Recipe 109)</t>
  </si>
  <si>
    <t>Top with clear lid and place directly onto cold serving line.</t>
  </si>
  <si>
    <t>CCP: Hold for cold service at 41° F or lower.</t>
  </si>
  <si>
    <t>1.0 (w/o peanut granules in granola)      1.12 (w/peanut granules in granola)</t>
  </si>
  <si>
    <t>Cholesterol: 2.5 mg</t>
  </si>
  <si>
    <t>Calories: 251 kcal</t>
  </si>
  <si>
    <t>Sodium: 85.48 mg</t>
  </si>
  <si>
    <t>Protein: 6.65 g</t>
  </si>
  <si>
    <t>Calcium: 134.88 mg</t>
  </si>
  <si>
    <t>Calories from Carbs: 79.91%</t>
  </si>
  <si>
    <t>Calories from Total Fat: 10.52%</t>
  </si>
  <si>
    <t>Total Fat: 2.94 g</t>
  </si>
  <si>
    <t>Dietary Fiber: 3.07 g</t>
  </si>
  <si>
    <t>Vitamin A: 525.31 IU</t>
  </si>
  <si>
    <t>Carbs: 50.23 g</t>
  </si>
  <si>
    <t>Calories from Protein: 10.57%</t>
  </si>
  <si>
    <t>Calories from Sat Fat: 1.85%</t>
  </si>
  <si>
    <t>Saturated Fat: 0.52 g</t>
  </si>
  <si>
    <t>Sugars: 27.63 g</t>
  </si>
  <si>
    <t>Vitamin C: 42.3 mg</t>
  </si>
  <si>
    <t>Iron: 1.21 mg</t>
  </si>
  <si>
    <t>Water: 32.09 g</t>
  </si>
  <si>
    <t>1/8 Cup (1 ounce)</t>
  </si>
  <si>
    <t>1 pound 12 oz</t>
  </si>
  <si>
    <t>3 pounds 8 oz</t>
  </si>
  <si>
    <t>Combine the rolled oats and peanut granules (optional) in a large bowl.</t>
  </si>
  <si>
    <t>Mix the brown sugar, apple juice, vegetable oil, honey, salt, cinnamon, and</t>
  </si>
  <si>
    <t>Peanut Granules (optional)</t>
  </si>
  <si>
    <t>vanilla in a stock pot. Stir well. Heat on medium for 4 minutes. DO NOT</t>
  </si>
  <si>
    <t>BOIL.</t>
  </si>
  <si>
    <t>Add the brown sugar mixture to the oats and peanuts. Toss to evenly</t>
  </si>
  <si>
    <t>coat.</t>
  </si>
  <si>
    <t>Apple Juice</t>
  </si>
  <si>
    <t>Spread 3 pounds 12 ounces (3 quarts 1 cup) of this mixture on each sheet</t>
  </si>
  <si>
    <t>pan (18" x 26" x 1") 50 servings per pan.</t>
  </si>
  <si>
    <t>Conventional Oven: 250° F for 1 hour 15 minutes</t>
  </si>
  <si>
    <t>Convection Oven: 200° F for 1 hour 15 minutes</t>
  </si>
  <si>
    <t>Remove from oven. Cool.</t>
  </si>
  <si>
    <t>Mix in raisins.</t>
  </si>
  <si>
    <t>Cinnamon (ground)</t>
  </si>
  <si>
    <t>Vanilla</t>
  </si>
  <si>
    <t>Raisins</t>
  </si>
  <si>
    <t>Fruit Juice</t>
  </si>
  <si>
    <t>Whole Fruit</t>
  </si>
  <si>
    <t>0.12 (w/peanut granules)</t>
  </si>
  <si>
    <t>Calories: 63.3</t>
  </si>
  <si>
    <t>Total Fat: 1.3 g</t>
  </si>
  <si>
    <t>Saturated Fat: 0.15 g</t>
  </si>
  <si>
    <t>Sodium: 24.9 mg</t>
  </si>
  <si>
    <t>Total Carbohydrate: 12.7 g</t>
  </si>
  <si>
    <t>Iron: 0.4 mg</t>
  </si>
  <si>
    <t>Protein: 1 g</t>
  </si>
  <si>
    <t>Potassium: 18.6 mg</t>
  </si>
  <si>
    <t>40 Servings</t>
  </si>
  <si>
    <t>Eggs</t>
  </si>
  <si>
    <t>3 1/8 cartons</t>
  </si>
  <si>
    <t>Scramble eggs, seasoning with salt, pepper, and oregano.</t>
  </si>
  <si>
    <t>Sauté onion, green pepper, chile peppers, poblano peppers, and lime juice.</t>
  </si>
  <si>
    <t>Onion (yellow, jumbo)</t>
  </si>
  <si>
    <t>Bake potatoes using 3 Tbsp of spice mix (see below) tossed with olive oil, for</t>
  </si>
  <si>
    <r>
      <t>15 minutes at 400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F.</t>
    </r>
  </si>
  <si>
    <t>Green Pepper</t>
  </si>
  <si>
    <t>Build burritos using 2 ounces each eggs, vegetables, potatoes, and cheese.</t>
  </si>
  <si>
    <t>Burritos can either be built to order, or prepared ahead of time for quicker service.</t>
  </si>
  <si>
    <r>
      <t>Reheat burritos to 165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internal temperature.</t>
    </r>
  </si>
  <si>
    <t>Potato Spice Mix</t>
  </si>
  <si>
    <t>Potatoes</t>
  </si>
  <si>
    <t>Spice Mix</t>
  </si>
  <si>
    <t>(optional garnish)</t>
  </si>
  <si>
    <t>1 1/4 Tbsp</t>
  </si>
  <si>
    <t>Poblano Peppers</t>
  </si>
  <si>
    <t>Tortilla 10" Whole Grain</t>
  </si>
  <si>
    <t>40 each</t>
  </si>
  <si>
    <t>Calories: 439</t>
  </si>
  <si>
    <t>Total Fat: 20.7 g</t>
  </si>
  <si>
    <t>Saturated Fat: 6.5 g</t>
  </si>
  <si>
    <t>Cholesterol: 310 mg</t>
  </si>
  <si>
    <t>Sodium: 625 mg</t>
  </si>
  <si>
    <t>Total Carbohydrate: 37 g</t>
  </si>
  <si>
    <t>Vitamin A: 767 IU</t>
  </si>
  <si>
    <t>Vitamin C: 20.5 mg</t>
  </si>
  <si>
    <t>Calcium: 288 mg</t>
  </si>
  <si>
    <t>Potassium: 344 mg</t>
  </si>
  <si>
    <t>Water: 45 g</t>
  </si>
  <si>
    <t>1 Muffin</t>
  </si>
  <si>
    <t>24 Servings</t>
  </si>
  <si>
    <t>48 Servings</t>
  </si>
  <si>
    <t>Mix dry ingredients.  Add wet ingredients and mix 2</t>
  </si>
  <si>
    <t>minutes. Add 3/4 of the blueberries (3 1/4 cups for 24</t>
  </si>
  <si>
    <t>Sugar (white)</t>
  </si>
  <si>
    <t>1 1/2 cups + 2 Tbsp</t>
  </si>
  <si>
    <t>svgs; 6 3/8 cups for 48 svgs; 14 cups for 100 svgs)</t>
  </si>
  <si>
    <t>and mix for 2 minutes.  Add remaining blueberries</t>
  </si>
  <si>
    <t>mix for 1 minute.  Scoop with yellow #20 scoop.</t>
  </si>
  <si>
    <t>Oven preheat at 350* F.  Bake for 10 minutes, turn</t>
  </si>
  <si>
    <t>1 Tbsp + 1 1/3 tsp</t>
  </si>
  <si>
    <t>2 Tbsp + 2 1/2 tsp</t>
  </si>
  <si>
    <t>oven down to 325* F without opening the doors,</t>
  </si>
  <si>
    <t>and bake for 10 additional minutes. Rotate, bake</t>
  </si>
  <si>
    <t>1 cup + 7 Tbsp</t>
  </si>
  <si>
    <t>for 3-5 minutes if needed.</t>
  </si>
  <si>
    <t>Eggs Liquid</t>
  </si>
  <si>
    <t>Applesauce (unsweetened)</t>
  </si>
  <si>
    <t>11 ounces</t>
  </si>
  <si>
    <t>1 lb 6 oz</t>
  </si>
  <si>
    <t>2 lbs 14 oz</t>
  </si>
  <si>
    <t>Blueberries (fresh or frozen)</t>
  </si>
  <si>
    <t>Calories: 189</t>
  </si>
  <si>
    <t>Total Fat: 7.87 g</t>
  </si>
  <si>
    <t>Saturated Fat: 0.76 g</t>
  </si>
  <si>
    <t>Cholesterol: 21.6 mg</t>
  </si>
  <si>
    <t>Sodium: 204 mg</t>
  </si>
  <si>
    <t>Dietary Fiber: 3.08 g</t>
  </si>
  <si>
    <t>Iron: 0.14 mg</t>
  </si>
  <si>
    <t>Vitamin A: 47 IU</t>
  </si>
  <si>
    <t>Protein: 3.6 g</t>
  </si>
  <si>
    <t>Vitamin C: 1.6 mg</t>
  </si>
  <si>
    <t>Calcium: 10.42 mg</t>
  </si>
  <si>
    <t>Sugars: 17 g</t>
  </si>
  <si>
    <t>Potassium: 32.86 mg</t>
  </si>
  <si>
    <t>Ash: 0.034 g</t>
  </si>
  <si>
    <t>Water: 0.068 g</t>
  </si>
  <si>
    <t>2 Pancakes</t>
  </si>
  <si>
    <t>Blend flour(s), baking powder, salt, dry milk,</t>
  </si>
  <si>
    <t>spices, and sugar in mixer for 3 minutes on low speed.</t>
  </si>
  <si>
    <t>Combine eggs, water, and oil. Add to dry ingredients.</t>
  </si>
  <si>
    <t xml:space="preserve">Blend for 2 minutes on low speed. Batter will be </t>
  </si>
  <si>
    <t>lumpy. DO NOT OVERMIX.</t>
  </si>
  <si>
    <t xml:space="preserve">If desired, lightly coat griddle surface with pan release </t>
  </si>
  <si>
    <t>Instant Nonfat Dry Milk</t>
  </si>
  <si>
    <t>spray. Portion batter with level Number 20 scoop</t>
  </si>
  <si>
    <t>(3 Tbsp 1 tsp) onto griddle, which has been heated to</t>
  </si>
  <si>
    <t>2/3 cups</t>
  </si>
  <si>
    <t>375° F.</t>
  </si>
  <si>
    <t xml:space="preserve">Cook until surface of pancakes are covered with </t>
  </si>
  <si>
    <t>6 2/3 cups</t>
  </si>
  <si>
    <t>bubbles and bottom side is lightly browned (≈ 2</t>
  </si>
  <si>
    <t>32 each</t>
  </si>
  <si>
    <t xml:space="preserve">minutes). Turn and cook until lightly browned on other </t>
  </si>
  <si>
    <t>1 quart 1 1/4 cups</t>
  </si>
  <si>
    <t>2 quarts 2 1/2 cups</t>
  </si>
  <si>
    <t>4 quarts 5 cups</t>
  </si>
  <si>
    <t>side (≈ 1 minute).</t>
  </si>
  <si>
    <t xml:space="preserve">Serve immediately or reheat in covered steamtable </t>
  </si>
  <si>
    <t>pans (12" x 20" x 2 1/2").</t>
  </si>
  <si>
    <t>Cinnamon</t>
  </si>
  <si>
    <t>Nutmeg</t>
  </si>
  <si>
    <t>1/2 tsp</t>
  </si>
  <si>
    <t>Allspice</t>
  </si>
  <si>
    <t>Calories: 127</t>
  </si>
  <si>
    <t>Saturated Fat: 0.89 g</t>
  </si>
  <si>
    <t>Cholesterol: 34 mg</t>
  </si>
  <si>
    <t>Sodium: 205 mg</t>
  </si>
  <si>
    <t>Carbohydrate: 16.26 g</t>
  </si>
  <si>
    <t>Dietary Fiber: 0.5 g</t>
  </si>
  <si>
    <t>Iron: 1.09 mg</t>
  </si>
  <si>
    <t>Vitamin A: 84 IU</t>
  </si>
  <si>
    <t>Protein: 3.36 g</t>
  </si>
  <si>
    <t>Vitamin C: 0.1 mg</t>
  </si>
  <si>
    <t>Calcium: 89 mg</t>
  </si>
  <si>
    <t>2 ounce Eggs, 1 Ham piece</t>
  </si>
  <si>
    <t>Eggs (carton)</t>
  </si>
  <si>
    <t>2 Cartons</t>
  </si>
  <si>
    <t>Mix egg, spinach, cream cheese, green onions, salt and pepper and scramble.</t>
  </si>
  <si>
    <t>Sauté ham until golden brown.</t>
  </si>
  <si>
    <t>Spinach</t>
  </si>
  <si>
    <t>Serve 2 ounce spoodle egg mixture, 1 piece of ham, and a 10 ounce tortilla or 2 ounce roll</t>
  </si>
  <si>
    <t>(Recipe 314).</t>
  </si>
  <si>
    <t>Low-Fat Cream Cheese</t>
  </si>
  <si>
    <t>Green Onion (chopped)</t>
  </si>
  <si>
    <t>Ham (sliced)</t>
  </si>
  <si>
    <t>10" Whole Wheat Tortilla (half)</t>
  </si>
  <si>
    <t>Calories: 82</t>
  </si>
  <si>
    <t>Total Fat: 5.07 g</t>
  </si>
  <si>
    <t>Saturated Fat: 1.57 g</t>
  </si>
  <si>
    <t>Cholesterol: 215 mg</t>
  </si>
  <si>
    <t>Sodium: 144 mg</t>
  </si>
  <si>
    <t>Carbohydrate: 1.65 g</t>
  </si>
  <si>
    <t>Dietary Fiber: 0 g</t>
  </si>
  <si>
    <t>Iron: 0.74 mg</t>
  </si>
  <si>
    <t>Vitamin A: 321 IU</t>
  </si>
  <si>
    <t>Protein: 7.02 g</t>
  </si>
  <si>
    <t>Calcium: 50 mg</t>
  </si>
  <si>
    <t>6 ounces or 8 ounces</t>
  </si>
  <si>
    <t>16-8 oz Servings</t>
  </si>
  <si>
    <t>21-6 oz Servings</t>
  </si>
  <si>
    <t>Cost/Serving Data - 8 oz</t>
  </si>
  <si>
    <t>Cost/Serving Data - 6 oz</t>
  </si>
  <si>
    <t>Vanilla Yogurt</t>
  </si>
  <si>
    <t xml:space="preserve">Combine yogurt and fruit juice concentrate in 8 quart or larger </t>
  </si>
  <si>
    <t>measurement-marked storage container, stir until well mixed.</t>
  </si>
  <si>
    <t>Apple or Orange Juice</t>
  </si>
  <si>
    <t>Puree spinach and berries with ice, then add to yogurt slowly, stirring often</t>
  </si>
  <si>
    <t>(concentrate)</t>
  </si>
  <si>
    <t>until smooth.</t>
  </si>
  <si>
    <t>Mixed Berries (frozen or fresh)</t>
  </si>
  <si>
    <t>Portion into smoothie cups. Refrigerate if not serving immediately. May also</t>
  </si>
  <si>
    <t>prepare the night before and refrigerate.</t>
  </si>
  <si>
    <t>Meal Pattern Contribution (8-ounce Svg)</t>
  </si>
  <si>
    <t>Nutrient Analysis (8-ounce Svg)</t>
  </si>
  <si>
    <t>Calories: 230</t>
  </si>
  <si>
    <t>Total Fat: 1 g</t>
  </si>
  <si>
    <t>Saturated Fat: 0.5 g</t>
  </si>
  <si>
    <t>Sodium: 55 mg</t>
  </si>
  <si>
    <t>Carbohydrate: 53 g</t>
  </si>
  <si>
    <t>Vitamin A: 15%</t>
  </si>
  <si>
    <t>Protein: 4 g</t>
  </si>
  <si>
    <t>Vitamin C: 50%</t>
  </si>
  <si>
    <t>Calcium: 10%</t>
  </si>
  <si>
    <t>Meal Pattern Contribution (6-ounce Svg)</t>
  </si>
  <si>
    <t>Nutrient Analysis (6-ounce Svg)</t>
  </si>
  <si>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32 Servings</t>
    </r>
  </si>
  <si>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48 Servings</t>
    </r>
  </si>
  <si>
    <t>≈ 80 Servings</t>
  </si>
  <si>
    <t>In one bowl, whisk together all dry ingredients.</t>
  </si>
  <si>
    <t>Mix in wet ingredients.</t>
  </si>
  <si>
    <t>Stir in nuts if desired.</t>
  </si>
  <si>
    <t>Use 3 ounce scoop to pour batter into muffin cups.</t>
  </si>
  <si>
    <t>Baking Soda</t>
  </si>
  <si>
    <t>Bake 5 minutes at 350* F, reduce heat to 325° F and</t>
  </si>
  <si>
    <t>bake 15-20 minutes (20-25 minutes total).</t>
  </si>
  <si>
    <t>CHECK AT 18-20 MINUTES.</t>
  </si>
  <si>
    <t>1 Tbsp + 1/2 tsp</t>
  </si>
  <si>
    <t>1 Tbsp + 2 1/2 tsp</t>
  </si>
  <si>
    <t>Liquid Eggs</t>
  </si>
  <si>
    <t>Bananas (thawed)</t>
  </si>
  <si>
    <t>13 each</t>
  </si>
  <si>
    <t>Total Fat: 5.6 g</t>
  </si>
  <si>
    <t>Saturated Fat: 3.1 g</t>
  </si>
  <si>
    <t>Sodium: 244 mg</t>
  </si>
  <si>
    <t>Dietary Fiber: 2.5 g</t>
  </si>
  <si>
    <t>Iron: 0.8 mg</t>
  </si>
  <si>
    <t>Vitamin A: 72.5 IU</t>
  </si>
  <si>
    <t>Protein: 3.8 g</t>
  </si>
  <si>
    <t>Vitamin C: 2.5 mg</t>
  </si>
  <si>
    <t>Sugars: 17.9 g</t>
  </si>
  <si>
    <t>Potassium: 21.5 mg</t>
  </si>
  <si>
    <t>Ash: 0.66 g</t>
  </si>
  <si>
    <t>Water: 0.1 g</t>
  </si>
  <si>
    <t>2 ounces (1/4 cup)</t>
  </si>
  <si>
    <r>
      <t xml:space="preserve">Eggs (frozen whole thawed) </t>
    </r>
    <r>
      <rPr>
        <sz val="10"/>
        <color rgb="FFFF0000"/>
        <rFont val="Arial"/>
        <family val="2"/>
      </rPr>
      <t>or</t>
    </r>
  </si>
  <si>
    <t>5 pounds 9 oz</t>
  </si>
  <si>
    <t>11 pounds 2 oz</t>
  </si>
  <si>
    <t>Beat eggs thoroughly.</t>
  </si>
  <si>
    <t>Add milk and salt. Mix until well blended.</t>
  </si>
  <si>
    <t>Pour 3 pounds 12 ounces (1 quart 3 1/4 cups) eggs mixture into each</t>
  </si>
  <si>
    <t>steamtable pan (12" x 20" x 2 1/2") which has been lightly coated with</t>
  </si>
  <si>
    <t>pan release spray (25 servings per pan).</t>
  </si>
  <si>
    <t>Conventional Oven: 350° F for 20 minutes. Stir once after 15 min</t>
  </si>
  <si>
    <t>Butter (optional)</t>
  </si>
  <si>
    <t>Convection Oven: 300° F for 15 minutes. Stir once after 10 min</t>
  </si>
  <si>
    <t>Steamer: 5 pound pressure for 3-5 minutes.</t>
  </si>
  <si>
    <t>Cheddar Cheese (shredded,</t>
  </si>
  <si>
    <t>DO NOT OVERCOOK.</t>
  </si>
  <si>
    <t>CCP: Heat to 145° F for 3 minutes.</t>
  </si>
  <si>
    <t>Remove from oven or steamer. Stir well. Eggs should have a slightly moist</t>
  </si>
  <si>
    <t>appearance.</t>
  </si>
  <si>
    <t>Add 1 1/4 ounces (2 Tbsp 1 1/2 tsp) butter (optional) to each pan. Stir.</t>
  </si>
  <si>
    <t>Sprinkle 7 ounces (1 3/4 cup) cheese (optional) over each pan.</t>
  </si>
  <si>
    <t>Portion with #16 scoop (1/4 cup). For best results, serve within 15 minutes.</t>
  </si>
  <si>
    <t>2 or 2.28 w/cheese</t>
  </si>
  <si>
    <t>Baked Goods</t>
  </si>
  <si>
    <t>3 1/8 lbs</t>
  </si>
  <si>
    <t>Preheat oven to 325° F.</t>
  </si>
  <si>
    <t>Prepare muffin pans with muffin cups.</t>
  </si>
  <si>
    <t>Sift together flour, baking powder, salt, baking soda, and spices.</t>
  </si>
  <si>
    <t>In another bowl, beat eggs, butter, brown sugar, maple syrup, and vanilla.</t>
  </si>
  <si>
    <t>Combine flour mixture, egg mixture, and yogurt. Do not over mix. Mix just until everything is</t>
  </si>
  <si>
    <t>combined and evenly distributed.</t>
  </si>
  <si>
    <t>Greek Plain Yogurt</t>
  </si>
  <si>
    <t>Gently fold in chopped peaches.</t>
  </si>
  <si>
    <t>Use a heaping #16 scoop (1/4 cup) to fill each muffin cup.</t>
  </si>
  <si>
    <t xml:space="preserve">Bake for 14 minutes, rotate 3-4 minutes, until golden brown and internal temperature </t>
  </si>
  <si>
    <t>is 180°-185° F.</t>
  </si>
  <si>
    <t>Liquid Egg</t>
  </si>
  <si>
    <t>11 1/2 ounces</t>
  </si>
  <si>
    <t>Butter (mostly melted)</t>
  </si>
  <si>
    <t>Peaches (drained, rinsed, drain</t>
  </si>
  <si>
    <t>2 1/3 lbs</t>
  </si>
  <si>
    <t>well)</t>
  </si>
  <si>
    <t>Total Fat: 9 g</t>
  </si>
  <si>
    <t>Saturated Fat: 7.5 g</t>
  </si>
  <si>
    <t>Cholesterol: 16 mg</t>
  </si>
  <si>
    <t>Sodium: 309 mg</t>
  </si>
  <si>
    <t>Iron: 0.86 mg</t>
  </si>
  <si>
    <t>Vitamin A: 121 IU</t>
  </si>
  <si>
    <t>Protein: 5 g</t>
  </si>
  <si>
    <t>Vitamin C: 1 mg</t>
  </si>
  <si>
    <t>Calcium: 37.9 mg</t>
  </si>
  <si>
    <t>French Bread (cut diagonally</t>
  </si>
  <si>
    <t>2 loaves</t>
  </si>
  <si>
    <t>4 loaves</t>
  </si>
  <si>
    <t>Butter a 9x13 inch baking dish. Arrange the slices of bread in the bottom.</t>
  </si>
  <si>
    <t>in 1 inch slices)</t>
  </si>
  <si>
    <t xml:space="preserve">In a large bowl, beat together eggs, milk, cream, vanilla, cinnamon, and </t>
  </si>
  <si>
    <t>34 each</t>
  </si>
  <si>
    <t>salt. Pour over bread slices, cover, and refrigerate overnight.</t>
  </si>
  <si>
    <t xml:space="preserve">The next morning, preheat oven to 350° F (175° C). In a small sauce pan, </t>
  </si>
  <si>
    <t xml:space="preserve">combine butter, brown sugar, and corn syrup; heat until bubbling. </t>
  </si>
  <si>
    <t>Pour over bread and egg mixture.</t>
  </si>
  <si>
    <t>Half and Half Cream</t>
  </si>
  <si>
    <t>3/4 quart</t>
  </si>
  <si>
    <t>Bake in preheated oven, uncovered, for 40 minutes.</t>
  </si>
  <si>
    <t>Vanilla Extract</t>
  </si>
  <si>
    <t>Light Corn Syrup</t>
  </si>
  <si>
    <t>Berries</t>
  </si>
  <si>
    <t>Calories: 155</t>
  </si>
  <si>
    <t>Total Fat: 4.07 g</t>
  </si>
  <si>
    <t>Saturated Fat: 1.18 g</t>
  </si>
  <si>
    <t>Cholesterol: 115 mg</t>
  </si>
  <si>
    <t>Sodium: 280 mg</t>
  </si>
  <si>
    <t>Total Carbs: 22.38 g</t>
  </si>
  <si>
    <t>Dietary Fiber: 0.7 g</t>
  </si>
  <si>
    <t>Iron: 1.35 mg</t>
  </si>
  <si>
    <t>Vitamin A: 229 IU</t>
  </si>
  <si>
    <t>Protein: 6.76 g</t>
  </si>
  <si>
    <t>Vitamin C: 0.3 mg</t>
  </si>
  <si>
    <t>Calcium: 83 mg</t>
  </si>
  <si>
    <t>1 bar (7 ounce weight)</t>
  </si>
  <si>
    <r>
      <t>Preheat conventional oven to 300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(convection oven to 350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F).</t>
    </r>
  </si>
  <si>
    <t>Generously spray the sheet pan with pan spray.</t>
  </si>
  <si>
    <t>2 1/4 ounces</t>
  </si>
  <si>
    <t>4 1/2 ounces</t>
  </si>
  <si>
    <t>Combine all dry ingredients in large mixing bowl or floor mixing bowl.</t>
  </si>
  <si>
    <t>In medium sauce pan, over medium heat, mix oil, tahini, honey, vanilla, and</t>
  </si>
  <si>
    <t>Coconut Flakes</t>
  </si>
  <si>
    <t>jam until well blended. Mixture should be creamy. Can also use microwave.</t>
  </si>
  <si>
    <t>(unsweetened)</t>
  </si>
  <si>
    <t>Add melted wet mixture, plus applesauce to dry ingredients.</t>
  </si>
  <si>
    <t>Spread into prepared pan. Use rolling pin to ensure uniform thickness.</t>
  </si>
  <si>
    <t>Bake for 15-20 minutes.</t>
  </si>
  <si>
    <t>Sunflower Seeds (raw)</t>
  </si>
  <si>
    <t>6 1/4 ounces</t>
  </si>
  <si>
    <t>Cool and cut 8x8 while warm. Store overnight before serving.</t>
  </si>
  <si>
    <t>Store, covered up to 3 days at room temperature.</t>
  </si>
  <si>
    <t>Sunflower Oil</t>
  </si>
  <si>
    <t>2 ounces</t>
  </si>
  <si>
    <t>Can be frozen for up to 2 weeks.</t>
  </si>
  <si>
    <t>Applesauce (natural)</t>
  </si>
  <si>
    <t>2 1/3 ounces</t>
  </si>
  <si>
    <t>4 2/3 ounces</t>
  </si>
  <si>
    <t>Berry Sauce (jam)</t>
  </si>
  <si>
    <t>Tahini</t>
  </si>
  <si>
    <t>19 ounces</t>
  </si>
  <si>
    <t>Cranberries (dried)</t>
  </si>
  <si>
    <t>7 1/2 ounces</t>
  </si>
  <si>
    <t>Calories: 303.86</t>
  </si>
  <si>
    <t>Total Fat: 17.9 g</t>
  </si>
  <si>
    <t>Saturated Fat: 5.2 g</t>
  </si>
  <si>
    <t>Sodium: 114.48 mg</t>
  </si>
  <si>
    <t>Total Carbs: 32.79 g</t>
  </si>
  <si>
    <t>Iron: 2.45 mg</t>
  </si>
  <si>
    <t>Vitamin A: 1.66 IU</t>
  </si>
  <si>
    <t>Protein: 6.67 g</t>
  </si>
  <si>
    <t>Vitamin C: 0.43 mg</t>
  </si>
  <si>
    <t>Calcium: 28.6 mg</t>
  </si>
  <si>
    <t>1 each (cut 3x4)</t>
  </si>
  <si>
    <t>12 Servings</t>
  </si>
  <si>
    <t>2 cups + 6 Tbsp</t>
  </si>
  <si>
    <t>Preheat conventional oven to 350° F (convection oven to 300° F).</t>
  </si>
  <si>
    <t>Generously spray a 1/2 sheet pan.</t>
  </si>
  <si>
    <t>Old Fashioned Rolled Oats</t>
  </si>
  <si>
    <t>Whisk together dry ingredients, except brown sugar.</t>
  </si>
  <si>
    <t>(dry)</t>
  </si>
  <si>
    <t>At slow, then medium speed, beat together liquid ingredients, with brown</t>
  </si>
  <si>
    <t>sugar.</t>
  </si>
  <si>
    <t>Gradually beat in dry ingredients, then sunflower seeds and craisins.</t>
  </si>
  <si>
    <t>Pumpkin Pie Spice Blend</t>
  </si>
  <si>
    <t>DO NOT OVERMIX.</t>
  </si>
  <si>
    <t>Spread into prepared pan.</t>
  </si>
  <si>
    <t>Bake for 25+ minutes or until toothpick comes out clean.</t>
  </si>
  <si>
    <t>Cool and cut 6x4. Serve or store tightly wrapped for 2 days.</t>
  </si>
  <si>
    <t>Pumpkin (canned)</t>
  </si>
  <si>
    <t>18 ounces</t>
  </si>
  <si>
    <t>36 ounces</t>
  </si>
  <si>
    <t>Egg (whole, large)</t>
  </si>
  <si>
    <t>Sunflower Seeds (unsalted)</t>
  </si>
  <si>
    <t>Cranberries (dried, unsweet)</t>
  </si>
  <si>
    <t>Calories: 212</t>
  </si>
  <si>
    <t>Total Fat: 3.4 g</t>
  </si>
  <si>
    <t>Cholesterol: 38 mg</t>
  </si>
  <si>
    <t>Sodium: 313 mg</t>
  </si>
  <si>
    <t>Total Carbs: 40 g</t>
  </si>
  <si>
    <t>Protein: 6 g</t>
  </si>
  <si>
    <t>Sugar: 18 g</t>
  </si>
  <si>
    <t>Crepes (Wolf Bistro Recipe)</t>
  </si>
  <si>
    <t>1 6-inch Crepe</t>
  </si>
  <si>
    <t>30 Servings</t>
  </si>
  <si>
    <t>60 Servings</t>
  </si>
  <si>
    <t>Whole Eggs</t>
  </si>
  <si>
    <t xml:space="preserve">Whisk together the eggs, egg yolks, water and milk. Add the sugar, salt and </t>
  </si>
  <si>
    <t xml:space="preserve">flour; whisk together. Stir in the melted butter. Cover and set aside to rest </t>
  </si>
  <si>
    <t>Egg Yolks</t>
  </si>
  <si>
    <t>for at least 1 hour before cooking.</t>
  </si>
  <si>
    <t xml:space="preserve">Heat a small sauté or crepe pan; brush lightly with clarified butter. Pour in 1 </t>
  </si>
  <si>
    <t xml:space="preserve">to 1 1/2 fluid ounces (1/8 - 3/16 cup) of batter; swirl to coat the bottom of </t>
  </si>
  <si>
    <t>the pan evenly.</t>
  </si>
  <si>
    <t>Cook the crepe until set and light brown, ≈ 1 minute. Flip it over and cook a</t>
  </si>
  <si>
    <t xml:space="preserve">few seconds longer (≈ 30 seconds). Remove from the pan. Repeat this </t>
  </si>
  <si>
    <t>Granulated Sugar</t>
  </si>
  <si>
    <t>process until all the batter is used.</t>
  </si>
  <si>
    <t xml:space="preserve">Cooked crepes may be used immediately or covered and held briefly in a </t>
  </si>
  <si>
    <t xml:space="preserve">warm oven. Crepes can also be wrapped well in plastic wrap and </t>
  </si>
  <si>
    <t>refrigerated for 2-3 days or frozen for several weeks.</t>
  </si>
  <si>
    <r>
      <rPr>
        <b/>
        <i/>
        <sz val="10"/>
        <color theme="1"/>
        <rFont val="Arial"/>
        <family val="2"/>
      </rPr>
      <t>Savory Crepes</t>
    </r>
    <r>
      <rPr>
        <sz val="10"/>
        <color theme="1"/>
        <rFont val="Arial"/>
        <family val="2"/>
      </rPr>
      <t>: Reduce the sugar to 1 Tbsp. Substitute buckwheat flour</t>
    </r>
  </si>
  <si>
    <t>for an equal amount of the Enriched White Flour if desired.</t>
  </si>
  <si>
    <t>Butter (unsalted, melted)</t>
  </si>
  <si>
    <t>5/8 cup</t>
  </si>
  <si>
    <r>
      <rPr>
        <b/>
        <i/>
        <sz val="10"/>
        <color theme="1"/>
        <rFont val="Arial"/>
        <family val="2"/>
      </rPr>
      <t>Savory Crepes Florentine</t>
    </r>
    <r>
      <rPr>
        <sz val="10"/>
        <color theme="1"/>
        <rFont val="Arial"/>
        <family val="2"/>
      </rPr>
      <t xml:space="preserve">: Fill Savory Crepes with creamed spinach </t>
    </r>
  </si>
  <si>
    <t>topped with Mornay sauce.</t>
  </si>
  <si>
    <t>Clarified Butter</t>
  </si>
  <si>
    <t>Calories: 153</t>
  </si>
  <si>
    <t>Total Fat: 6 g</t>
  </si>
  <si>
    <t>Saturated Fat: 3.3 g</t>
  </si>
  <si>
    <t>Cholesterol: 92 mg</t>
  </si>
  <si>
    <t>Sodium: 194 mg</t>
  </si>
  <si>
    <t>Total Carbs: 18 g</t>
  </si>
  <si>
    <t>Sugar: 6 g</t>
  </si>
  <si>
    <t>1 Muffin Square</t>
  </si>
  <si>
    <t>Blend flour, dry milk, baking powder, sugar, and salt in mixer for 5 minutes</t>
  </si>
  <si>
    <t>on low speed. Add raisins (optional).</t>
  </si>
  <si>
    <t>Combine eggs and water. Add slowly to dry ingredients while mixing on</t>
  </si>
  <si>
    <t>low speed. Mix only until dry ingredients are moistened, 15-20 seconds.</t>
  </si>
  <si>
    <t>3 Tbsp 2 tsp</t>
  </si>
  <si>
    <t>1/4 cup 3 1/3 Tbsp</t>
  </si>
  <si>
    <t>Add oil slowly while mixing approximately 40 seconds on low speed.</t>
  </si>
  <si>
    <t>DO NOT OVERMIX. Batter will be lumpy.</t>
  </si>
  <si>
    <t>Pour 4 pounds 7 ounces (2 quarts 2 cups) batter into each steamtable</t>
  </si>
  <si>
    <t>pan (12" x 20" x 2 1/2") which has been lightly coated with pan release</t>
  </si>
  <si>
    <t>1 Tbsp 1 tsp</t>
  </si>
  <si>
    <t>spray (50 servings per pan).</t>
  </si>
  <si>
    <t>Conventional Oven: 425° F for 25 minutes</t>
  </si>
  <si>
    <t>Raisins (plumped) optional</t>
  </si>
  <si>
    <t>Convection Oven: 350° F for 15 minutes</t>
  </si>
  <si>
    <t>Cut each pan 5x10 (50 portions per pan).</t>
  </si>
  <si>
    <r>
      <t xml:space="preserve">Frozen Whole Eggs (thawed) </t>
    </r>
    <r>
      <rPr>
        <sz val="11"/>
        <color rgb="FFFF0000"/>
        <rFont val="Arial"/>
        <family val="2"/>
      </rPr>
      <t>or</t>
    </r>
  </si>
  <si>
    <r>
      <rPr>
        <b/>
        <sz val="10"/>
        <color theme="1"/>
        <rFont val="Arial"/>
        <family val="2"/>
      </rPr>
      <t>For muffin pans</t>
    </r>
    <r>
      <rPr>
        <sz val="10"/>
        <color theme="1"/>
        <rFont val="Arial"/>
        <family val="2"/>
      </rPr>
      <t>: Portion batter with Number 20 scoop (3 1/3 Tbsp) into</t>
    </r>
  </si>
  <si>
    <t>muffin pans lightly coated with pan release spray. Fill no more than 2/3</t>
  </si>
  <si>
    <t>1 quart 1 1/2 cups</t>
  </si>
  <si>
    <t>full.</t>
  </si>
  <si>
    <t>Conventional Oven: 400° F for 18-20 min</t>
  </si>
  <si>
    <t>Convection Oven: 350° F for 12-15 minutes</t>
  </si>
  <si>
    <t>To cool, remove muffins from pans immediately and place on cooling</t>
  </si>
  <si>
    <t>racks.</t>
  </si>
  <si>
    <t>Calories: 110</t>
  </si>
  <si>
    <t>Total Fat: 3.73 g</t>
  </si>
  <si>
    <t>Saturated Fat: 0.58 g</t>
  </si>
  <si>
    <t>Cholesterol: 13 mg</t>
  </si>
  <si>
    <t>Sodium: 193 mg</t>
  </si>
  <si>
    <t>Total Carbs: 16.87 g</t>
  </si>
  <si>
    <t>Iron: 0.88 mg</t>
  </si>
  <si>
    <t>Vitamin A: 42 IU</t>
  </si>
  <si>
    <t>Protein: 2.36 g</t>
  </si>
  <si>
    <t>Calcium: 66 mg</t>
  </si>
  <si>
    <t>1 cup (8 ounces)</t>
  </si>
  <si>
    <t>Liquid Egg Whites</t>
  </si>
  <si>
    <t>12 1/2 quarts</t>
  </si>
  <si>
    <t>25 quarts</t>
  </si>
  <si>
    <t>Preheat oven to 350° F. Coat steamtable pan with cooking spray.</t>
  </si>
  <si>
    <t>Combine all ingredients in a large bowl and stir until combined.</t>
  </si>
  <si>
    <t>Spinach (frozen, thawed,</t>
  </si>
  <si>
    <t>6 pounds 4 oz</t>
  </si>
  <si>
    <t>12 pounds 8 oz</t>
  </si>
  <si>
    <t>Pour egg mixture into prepared steamtable pans and bake for 15-18 min</t>
  </si>
  <si>
    <t>chopped, squeezed)</t>
  </si>
  <si>
    <t>or until eggs are set.</t>
  </si>
  <si>
    <t>Red Bell Pepper (diced)</t>
  </si>
  <si>
    <t>Remove from oven and let stand for 5-7 minutes; slice into squares</t>
  </si>
  <si>
    <t>and serve.</t>
  </si>
  <si>
    <t>Pepper Jack Cheese</t>
  </si>
  <si>
    <t>Calories: 200</t>
  </si>
  <si>
    <t>Total Fat: 5 g</t>
  </si>
  <si>
    <t>Cholesterol: 15 mg</t>
  </si>
  <si>
    <t>Sodium: 530 mg</t>
  </si>
  <si>
    <t>Carbohydrate: 6 g</t>
  </si>
  <si>
    <t>Protein: 31 g</t>
  </si>
  <si>
    <t>1/2 cup (4 ounces)</t>
  </si>
  <si>
    <t>Potato (Sweet, Red, or</t>
  </si>
  <si>
    <t>27 pounds</t>
  </si>
  <si>
    <t xml:space="preserve">Clean potatoes. Place potatoes straight up in the Hobart chopper using the </t>
  </si>
  <si>
    <t>Yukon)</t>
  </si>
  <si>
    <t>5/32 (4) blade.</t>
  </si>
  <si>
    <t xml:space="preserve">Once potatoes are sliced, mix with oil and salt and place 6 pounds </t>
  </si>
  <si>
    <t>12 ounces in plastic bag or fish tub.</t>
  </si>
  <si>
    <t>This is 25 servings.</t>
  </si>
  <si>
    <t>Bake on lined sheet pans for 25 minutes in 350° F oven.</t>
  </si>
  <si>
    <t>Calories: 151.31</t>
  </si>
  <si>
    <t>Total Fat: 6.85 g</t>
  </si>
  <si>
    <t>Saturated Fat: 0.7 g</t>
  </si>
  <si>
    <t>Sodium: 151.33 mg</t>
  </si>
  <si>
    <t>Carbohydrate: 21.33 g</t>
  </si>
  <si>
    <t>Dietary Fiber: 3.18 g</t>
  </si>
  <si>
    <t>Iron: 0.65 mg</t>
  </si>
  <si>
    <t>Vitamin A: 15042 IU</t>
  </si>
  <si>
    <t>Protein: 1.66 g</t>
  </si>
  <si>
    <t>Vitamin C: 2.54 mg</t>
  </si>
  <si>
    <t>Calcium: 31.87 mg</t>
  </si>
  <si>
    <t>Eggs (large)</t>
  </si>
  <si>
    <t>1 1/2 Cartons</t>
  </si>
  <si>
    <t>64 each</t>
  </si>
  <si>
    <t>Preheat oven to 400° F. Whisk eggs, milk, salt, pepper, and herbs in a large</t>
  </si>
  <si>
    <t>bowl. Stir in the feta cheese; set aside.</t>
  </si>
  <si>
    <t>Heat the oil over medium-high heat in skillet. When the oil is hot, add</t>
  </si>
  <si>
    <t>onion and spinach, stirring occasionally, for 5 minutes or until tender.</t>
  </si>
  <si>
    <t>Add the zucchini and tomatoes and cook for 2 minutes more.</t>
  </si>
  <si>
    <t>Pour the egg mixture over the vegetables, pulling the eggs away from the</t>
  </si>
  <si>
    <t>sides of the pan with a spatula so they flow to the bottom of the pan.</t>
  </si>
  <si>
    <t>Cook for 4 to 5 minutes.</t>
  </si>
  <si>
    <t>Thyme (fresh)</t>
  </si>
  <si>
    <t>When the eggs begin to set, sprinkle the shredded Mozzarella over the</t>
  </si>
  <si>
    <t>top. Transfer the skillet to the oven. Bake for 8 to 10 minutes or until the</t>
  </si>
  <si>
    <t>Sage (fresh, fine chop)</t>
  </si>
  <si>
    <t>top is golden. Cut into wedges. Sprinkle with fresh thyme leaves, if desired.</t>
  </si>
  <si>
    <t>Serve immediately.</t>
  </si>
  <si>
    <t>Feta Cheese (crumbled)</t>
  </si>
  <si>
    <t>12 ounces</t>
  </si>
  <si>
    <t>Zucchini or Summer Squash</t>
  </si>
  <si>
    <t>1 lg + 2 small</t>
  </si>
  <si>
    <t>(cut half moon shape)</t>
  </si>
  <si>
    <t>Roma Tomatoes (chopped)</t>
  </si>
  <si>
    <t xml:space="preserve">Mozzarella Cheese </t>
  </si>
  <si>
    <t>Thyme Leaves (fresh)</t>
  </si>
  <si>
    <t>Optional</t>
  </si>
  <si>
    <t>Onion (large)</t>
  </si>
  <si>
    <t>Calories: 131</t>
  </si>
  <si>
    <t>Total Fat: 6.02 g</t>
  </si>
  <si>
    <t>Saturated Fat: 2.39 g</t>
  </si>
  <si>
    <t>Cholesterol: 152 mg</t>
  </si>
  <si>
    <t>Sodium: 233 mg</t>
  </si>
  <si>
    <t>Total Carbs: 10.64 g</t>
  </si>
  <si>
    <t>Vitamin A: 1945 IU</t>
  </si>
  <si>
    <t>Protein: 8.95 g</t>
  </si>
  <si>
    <t>Vitamin C: 2.9 mg</t>
  </si>
  <si>
    <t>Calcium: 139 mg</t>
  </si>
  <si>
    <t>100% Whole Wheat Bread</t>
  </si>
  <si>
    <t>25 slices</t>
  </si>
  <si>
    <t xml:space="preserve">Toast wheat bread.  Spread 1 Tbsp Sunbutter on each slice. Top each with </t>
  </si>
  <si>
    <t>1/2 sliced banana and 1/2 tsp Chia Seeds.</t>
  </si>
  <si>
    <t>Sunbutter</t>
  </si>
  <si>
    <t>25 Tbsp</t>
  </si>
  <si>
    <t>50 Tbsp</t>
  </si>
  <si>
    <t>Banana (medium, sliced)</t>
  </si>
  <si>
    <t>12 1/2 tsp</t>
  </si>
  <si>
    <t>25 tsp</t>
  </si>
  <si>
    <t>Calories: 210</t>
  </si>
  <si>
    <t>Sodium: 175.8 mg</t>
  </si>
  <si>
    <t>Total Carbs: 27.6 g</t>
  </si>
  <si>
    <t>Dietary Fiber: 5.1 g</t>
  </si>
  <si>
    <t>Protein: 8.5 g</t>
  </si>
  <si>
    <t>Sugar: 9.7 g</t>
  </si>
  <si>
    <t xml:space="preserve">Preheat oven to 350° F. Heat oil in a large nonstick skillet over medium-high </t>
  </si>
  <si>
    <t xml:space="preserve">heat. Lightly beat eggs in a medium bowl. Stir in cheese and garlic and </t>
  </si>
  <si>
    <t xml:space="preserve">season with salt and pepper. When oil is shimmering, pour egg mixture </t>
  </si>
  <si>
    <t xml:space="preserve">into pan and cook until eggs begin to turn golden brown around the </t>
  </si>
  <si>
    <t>Parmesan Cheese (finely</t>
  </si>
  <si>
    <t>edges. Arrange tomato slices on top of egg mixture. Some slices may sink.</t>
  </si>
  <si>
    <t>grated)</t>
  </si>
  <si>
    <t xml:space="preserve">Transfer skillet to oven and bake frittata until eggs are just set in the </t>
  </si>
  <si>
    <t xml:space="preserve">center, 8-10 minutes. Using a heatproof spatula, loosen frittata from pan </t>
  </si>
  <si>
    <t xml:space="preserve">and slide onto a warm plate. Slice and serve warm or at room </t>
  </si>
  <si>
    <t>Sea Salt and Black Pepper</t>
  </si>
  <si>
    <t>temperature.</t>
  </si>
  <si>
    <t>Plum Tomatoes (ripe, cored,</t>
  </si>
  <si>
    <t>25 pounds</t>
  </si>
  <si>
    <t>cut crosswise into 1/4" slices)</t>
  </si>
  <si>
    <t>Calories: 180</t>
  </si>
  <si>
    <t>Total Fat: 13 g</t>
  </si>
  <si>
    <t>Saturated Fat: 3.5 g</t>
  </si>
  <si>
    <t>Cholesterol: 220 mg</t>
  </si>
  <si>
    <t>Sodium: 210 mg</t>
  </si>
  <si>
    <t>Total Carbs: 7 g</t>
  </si>
  <si>
    <t>Sugar: 4 g</t>
  </si>
  <si>
    <t>1 Biscuit (3 ounces)</t>
  </si>
  <si>
    <t>40-42 Servings</t>
  </si>
  <si>
    <t>80-84 Servings</t>
  </si>
  <si>
    <t>Butter (softened)</t>
  </si>
  <si>
    <t>In a large bowl, cream together butter and sugar until smooth.</t>
  </si>
  <si>
    <t>Beat in eggs and vanilla.</t>
  </si>
  <si>
    <t>Stir in the flour, baking powder, salt, and pumpkin spice.</t>
  </si>
  <si>
    <t>Roll out dough on floured surface to 1/4 inch thick.</t>
  </si>
  <si>
    <t>Cut into 15 cm squares (≈ 3 ounces per biscuit); dock twice w/fork.</t>
  </si>
  <si>
    <t>Cover and chill dough overnight. Bake the following morning.</t>
  </si>
  <si>
    <t>Preheat oven to 350° F.</t>
  </si>
  <si>
    <t>Place cookies 1 inch apart on ungreased cookie sheets.</t>
  </si>
  <si>
    <t>Bake 8-10 minutes in preheated oven; rotate halfway through. Cool completely.</t>
  </si>
  <si>
    <t>Pumpkin Spice</t>
  </si>
  <si>
    <t>Calories: 312.7</t>
  </si>
  <si>
    <t>Total Fat: 14.8 g</t>
  </si>
  <si>
    <t>Cholesterol: 78.5 mg</t>
  </si>
  <si>
    <t>Sodium: 185.5 mg</t>
  </si>
  <si>
    <t>Total Carbohydrate: 41.5 g</t>
  </si>
  <si>
    <t>Iron: 0.87 mg</t>
  </si>
  <si>
    <t>Protein: 5.6 g</t>
  </si>
  <si>
    <t>Calcium: 6 mg</t>
  </si>
  <si>
    <t>Sugars: 17.7 g</t>
  </si>
  <si>
    <t>Water: 0.09 g</t>
  </si>
  <si>
    <t>Side</t>
  </si>
  <si>
    <t>3/4 Cup (6 ounces)</t>
  </si>
  <si>
    <t>216</t>
  </si>
  <si>
    <t>19 pounds + 3 1/8 oz</t>
  </si>
  <si>
    <t>24 pounds + 11 oz</t>
  </si>
  <si>
    <t>Do not rinse rice.</t>
  </si>
  <si>
    <t>Place 1 lb 13 oz brown rice in a 12" x 20" x 2 1/2" pan</t>
  </si>
  <si>
    <t>2 gallons + 3 3/4 Qts</t>
  </si>
  <si>
    <t>3 gallons + 3 1/8 Qts</t>
  </si>
  <si>
    <t>4 gallons + 1 1/2 pints</t>
  </si>
  <si>
    <t>or 3 lb 9 oz in a 12" x 20" x 4 1/2" steamtable pan.</t>
  </si>
  <si>
    <t>Add salt to boiling water. Pour water over rice</t>
  </si>
  <si>
    <t>(1 quart 2 cups per pan). Cover pans tightly.</t>
  </si>
  <si>
    <t>Conventional Oven: 350° F for 40 minutes.</t>
  </si>
  <si>
    <t>Convection Oven: 325° F for 40 minutes.</t>
  </si>
  <si>
    <t>Steamer: 5 pound pressure for 25 minutes.</t>
  </si>
  <si>
    <t>Remove from oven or steamer. Let stand 5 min; stir.</t>
  </si>
  <si>
    <t>CCP: Hold for hot service at 135° F or higher; or</t>
  </si>
  <si>
    <t>41° F or lower within an additional 4 hours</t>
  </si>
  <si>
    <t>Serving: Portion with 6 ounce scoop (3/4 cup).</t>
  </si>
  <si>
    <t>Calories: 181</t>
  </si>
  <si>
    <t>Total Fat: 1.7 g</t>
  </si>
  <si>
    <t>Saturated Fat: 0 g</t>
  </si>
  <si>
    <t>Sodium: 143.5 mg</t>
  </si>
  <si>
    <t>Dietary Fiber: 2.3 g</t>
  </si>
  <si>
    <t>Protein: 4.5 g</t>
  </si>
  <si>
    <t>Potassium: 159 mg</t>
  </si>
  <si>
    <t>217</t>
  </si>
  <si>
    <t>White Rice (medium grain,</t>
  </si>
  <si>
    <t>27 3/4 pounds</t>
  </si>
  <si>
    <r>
      <t xml:space="preserve">regular) </t>
    </r>
    <r>
      <rPr>
        <sz val="10"/>
        <color rgb="FFFF0000"/>
        <rFont val="Arial"/>
        <family val="2"/>
      </rPr>
      <t>or</t>
    </r>
  </si>
  <si>
    <t xml:space="preserve">Place 1 pound 14 ounces medium grain, or 1 pound </t>
  </si>
  <si>
    <t>White Rice (long grain, regular)</t>
  </si>
  <si>
    <t>17 3/4 pounds</t>
  </si>
  <si>
    <t>22 3/4 pounds</t>
  </si>
  <si>
    <t>25 1/4 pounds</t>
  </si>
  <si>
    <t>11 ounces long grain, or 1 pound 13 ounces</t>
  </si>
  <si>
    <t>or</t>
  </si>
  <si>
    <t xml:space="preserve">parboiled rice in each steamtable pan </t>
  </si>
  <si>
    <t>White Rice (long grain,</t>
  </si>
  <si>
    <t>(12" x 20" x 2 1/2") 25 servings per pan;</t>
  </si>
  <si>
    <t>parboiled)</t>
  </si>
  <si>
    <t>Water (boiling)</t>
  </si>
  <si>
    <t xml:space="preserve">Add salt to boiling water. Pour water over rice </t>
  </si>
  <si>
    <t>(1 quart 2 cups per steamtable pan).</t>
  </si>
  <si>
    <t>Cover pans tightly.</t>
  </si>
  <si>
    <t>Conventional Oven: 350° F for 30 minutes.</t>
  </si>
  <si>
    <t>Convection Oven: 325° F for 30 minutes.</t>
  </si>
  <si>
    <t>Remove from oven or steamer.</t>
  </si>
  <si>
    <t>Calories: 149.25</t>
  </si>
  <si>
    <t>Total Fat: 0.3 g</t>
  </si>
  <si>
    <t>Cholesterol:</t>
  </si>
  <si>
    <t>Sodium: 5.25 mg</t>
  </si>
  <si>
    <t>Carbohydrate: 33.75 g</t>
  </si>
  <si>
    <t>Dietary Fiber: 0.9 g</t>
  </si>
  <si>
    <t>Iron: 2.25%</t>
  </si>
  <si>
    <t>Magnesium: 1.5%</t>
  </si>
  <si>
    <t>Potassium: 19.5 mg</t>
  </si>
  <si>
    <t>Vitamin C: 0%</t>
  </si>
  <si>
    <t>Calcium: 0.75%</t>
  </si>
  <si>
    <t>4 ounce (1/2 cup)</t>
  </si>
  <si>
    <t>215</t>
  </si>
  <si>
    <t>32 Servings</t>
  </si>
  <si>
    <t>64 Servings</t>
  </si>
  <si>
    <t>128 Servings</t>
  </si>
  <si>
    <t xml:space="preserve">Mix all ingredients in steamtable pans. Bake for </t>
  </si>
  <si>
    <t>35 minutes at 350° F if using plain rice</t>
  </si>
  <si>
    <t>(40 minutes at 350° F for arroz Amarillo rice).</t>
  </si>
  <si>
    <t xml:space="preserve">If poblano peppers are not available, sweet bell </t>
  </si>
  <si>
    <t>pepper can be substituted.</t>
  </si>
  <si>
    <t>If making Spanish Rice, use 1/2 the salt.</t>
  </si>
  <si>
    <t>9 oz</t>
  </si>
  <si>
    <t>1/4 pound</t>
  </si>
  <si>
    <t>1 pound + 2 oz</t>
  </si>
  <si>
    <t>2 1/4 pound</t>
  </si>
  <si>
    <t xml:space="preserve">*Note:  Cooked rice is 4 ounce weight to 6 ounce </t>
  </si>
  <si>
    <t>volume measure.</t>
  </si>
  <si>
    <t>Chicken or Veggie Broth</t>
  </si>
  <si>
    <t>1/4 gallon</t>
  </si>
  <si>
    <t>*NOTE: Doubled the 128 servings recipe.</t>
  </si>
  <si>
    <t>(4 tsp chicken paste)</t>
  </si>
  <si>
    <t>(8 tsp chicken paste)</t>
  </si>
  <si>
    <t>(16 tsp chicken paste)</t>
  </si>
  <si>
    <t>Rice (medium grain, dried)</t>
  </si>
  <si>
    <t>2 3/4 pounds</t>
  </si>
  <si>
    <t>1/8 cup</t>
  </si>
  <si>
    <t>Bell Pepper</t>
  </si>
  <si>
    <t>Poblano Pepper</t>
  </si>
  <si>
    <t>1/4 each</t>
  </si>
  <si>
    <t>Total Fat: 2.7 g</t>
  </si>
  <si>
    <t>Sodium: 696 mg</t>
  </si>
  <si>
    <t>Total Carbohydrate: 39.8 g</t>
  </si>
  <si>
    <t>Vitamin A: 160 IU</t>
  </si>
  <si>
    <t>Vitamin C: 5.3 mg</t>
  </si>
  <si>
    <t>Calcium: 5.7 mg</t>
  </si>
  <si>
    <t>Sugars: 1 g</t>
  </si>
  <si>
    <t>Potassium: 243 mg</t>
  </si>
  <si>
    <t>212</t>
  </si>
  <si>
    <t>80 Servings</t>
  </si>
  <si>
    <t>160 Servings</t>
  </si>
  <si>
    <t>233 Servings</t>
  </si>
  <si>
    <t>Enriched Macaroni Noodles</t>
  </si>
  <si>
    <t>6 3/4 pounds</t>
  </si>
  <si>
    <t xml:space="preserve">Mix mayonnaise, melted butter, garlic salt, salt, celery </t>
  </si>
  <si>
    <t>seed, black pepper, and garlic powder to make</t>
  </si>
  <si>
    <t>Mayonnaise (light)</t>
  </si>
  <si>
    <t xml:space="preserve">When noodles are just soft, add dressing to them </t>
  </si>
  <si>
    <t>1/3 pound</t>
  </si>
  <si>
    <t>while they are still warm. Add onions and celery.</t>
  </si>
  <si>
    <t>Onions (finely diced)</t>
  </si>
  <si>
    <t>1/2 quart</t>
  </si>
  <si>
    <t>1 1/3 quarts</t>
  </si>
  <si>
    <t xml:space="preserve">Refrigerate for at least 1 hour (2 hours preferred) </t>
  </si>
  <si>
    <t>before serving.</t>
  </si>
  <si>
    <t>Celery (finely chopped)</t>
  </si>
  <si>
    <t>4 oz scoop = 2 oz weight</t>
  </si>
  <si>
    <t>Garlic Salt</t>
  </si>
  <si>
    <t>1 1/3 tsp</t>
  </si>
  <si>
    <t>Celery Seed</t>
  </si>
  <si>
    <t>1/3 Tbsp</t>
  </si>
  <si>
    <t>3/4 Tbsp</t>
  </si>
  <si>
    <t>Calories: 130.9</t>
  </si>
  <si>
    <t>Total Fat: 6.2 g</t>
  </si>
  <si>
    <t>Cholesterol: 8.5 mg</t>
  </si>
  <si>
    <t>Sodium: 166 mg</t>
  </si>
  <si>
    <t>Total Carbohydrate: 16.6 g</t>
  </si>
  <si>
    <t>Dietary Fiber: 0.87 g</t>
  </si>
  <si>
    <t>Vitamin A: 40.6 IU</t>
  </si>
  <si>
    <t>Protein: 2.6 g</t>
  </si>
  <si>
    <t>Vitamin C: 0.7 mg</t>
  </si>
  <si>
    <t>Calcium: 3.3 mg</t>
  </si>
  <si>
    <t>Sugars: 1.6 g</t>
  </si>
  <si>
    <t>Potassium: 15.45 mg</t>
  </si>
  <si>
    <t>Water: 12.7 g</t>
  </si>
  <si>
    <t>Added Sugars: 0.6 g</t>
  </si>
  <si>
    <t>214</t>
  </si>
  <si>
    <t>Spaghetti Noodles</t>
  </si>
  <si>
    <t>22 pounds 13 oz</t>
  </si>
  <si>
    <t>25 pounds 5 oz</t>
  </si>
  <si>
    <t>Heat water to boiling.  Add salt.</t>
  </si>
  <si>
    <t>Slowly add spaghetti. Stir constantly until water boils</t>
  </si>
  <si>
    <t>occasionally. Do not overcook. Drain well. Run cold</t>
  </si>
  <si>
    <t>Coat pasta with olive oil to keep from sticking</t>
  </si>
  <si>
    <t>together.</t>
  </si>
  <si>
    <t>Calories: 164.3</t>
  </si>
  <si>
    <t>Total Fat: 0.8 g</t>
  </si>
  <si>
    <t>Sodium: 0 mg</t>
  </si>
  <si>
    <t>Total Carbohydrate: 33.7 g</t>
  </si>
  <si>
    <t>Iron: 1.48 mg</t>
  </si>
  <si>
    <t>Protein: 5.75 g</t>
  </si>
  <si>
    <t>Calcium: 13.6 mg</t>
  </si>
  <si>
    <t>Potassium: 77.2 mg</t>
  </si>
  <si>
    <t>219</t>
  </si>
  <si>
    <t>Yukon Potatoes</t>
  </si>
  <si>
    <t>52 1/2 pounds</t>
  </si>
  <si>
    <t>67 1/2 pounds</t>
  </si>
  <si>
    <t>75 pounds</t>
  </si>
  <si>
    <t>Scrub potatoes.</t>
  </si>
  <si>
    <t>Preheat oven to 400° F.</t>
  </si>
  <si>
    <t>6 Tbsp + 2 tsp</t>
  </si>
  <si>
    <t>Cut potatoes into wedges.</t>
  </si>
  <si>
    <t>Toss cut potatoes with oil, pepper, and salt.</t>
  </si>
  <si>
    <t>Evenly line coated potatoes on sheet pan with</t>
  </si>
  <si>
    <t>parchment paper.</t>
  </si>
  <si>
    <t>Bake for 25-30 minutes on high fan or until golden</t>
  </si>
  <si>
    <t>brown.</t>
  </si>
  <si>
    <t>55 pounds of potatoes in water for 2 days = 60 lbs</t>
  </si>
  <si>
    <t>60 pounds = 30 pounds after baking</t>
  </si>
  <si>
    <t xml:space="preserve">20 pounds Red Roosters fit large hotel pan = 12 1/2 </t>
  </si>
  <si>
    <t>pounds cooked (100 svgs)</t>
  </si>
  <si>
    <t>200 pounds raw potatoes = 615 servings</t>
  </si>
  <si>
    <t>150 pounds raw potatoes = 450 servings</t>
  </si>
  <si>
    <t>Total Fat: 1.48 g</t>
  </si>
  <si>
    <t>Saturated Fat: 0.14 g</t>
  </si>
  <si>
    <t>Sodium: 153.6 mg</t>
  </si>
  <si>
    <t>Total Carbohydrate: 0 g</t>
  </si>
  <si>
    <t>Calcium: 18 mg</t>
  </si>
  <si>
    <t>Potassium: 648 mg</t>
  </si>
  <si>
    <t>Water: 74 g</t>
  </si>
  <si>
    <t>208</t>
  </si>
  <si>
    <t>Celery</t>
  </si>
  <si>
    <t>11 3/4 cups</t>
  </si>
  <si>
    <t>Sauté carrots, celery, and onions in oil.</t>
  </si>
  <si>
    <t>Add tomato paste and darken.</t>
  </si>
  <si>
    <t>Yellow Onion</t>
  </si>
  <si>
    <t>2 lbs 5 1/2 oz</t>
  </si>
  <si>
    <t>4 lbs 1 1/2 oz</t>
  </si>
  <si>
    <t>5 3/4 lbs</t>
  </si>
  <si>
    <t xml:space="preserve">Add diced tomatoes (fresh and canned), and pepper </t>
  </si>
  <si>
    <t>and cook for 10 minutes.</t>
  </si>
  <si>
    <t>Diced Tomatoes (canned)</t>
  </si>
  <si>
    <t>20 1/4 pounds</t>
  </si>
  <si>
    <t>35 1/2 pounds</t>
  </si>
  <si>
    <t>50 3/4 lbs</t>
  </si>
  <si>
    <t xml:space="preserve">Burr mix. Add/stir in vegetable base. Add milk. </t>
  </si>
  <si>
    <t xml:space="preserve">Continue stirring, reduce  heat, so not to burn. </t>
  </si>
  <si>
    <t>Diced Tomatoes (fresh)</t>
  </si>
  <si>
    <t>Add basil, sugar, red pepper flakes, and salt.</t>
  </si>
  <si>
    <t>Continue cooking to develop flavor (≈ 20 minutes).</t>
  </si>
  <si>
    <t>Vegetable Base (no MSG)</t>
  </si>
  <si>
    <t>1 cup + 5 1/2 Tbsp</t>
  </si>
  <si>
    <t>1/4 cup + 2 1/2 Tbsp</t>
  </si>
  <si>
    <t>Calories: 256.8</t>
  </si>
  <si>
    <t>Total Fat: 10.75 g</t>
  </si>
  <si>
    <t>Saturated Fat: 4.6 g</t>
  </si>
  <si>
    <t>Cholesterol: 28.8 mg</t>
  </si>
  <si>
    <t>Sodium: 833 mg</t>
  </si>
  <si>
    <t>Iron: 0.95 mg</t>
  </si>
  <si>
    <t>Vitamin A: 3062 IU</t>
  </si>
  <si>
    <t>Protein: 13.6 g</t>
  </si>
  <si>
    <t>Calcium: 390.5 mg</t>
  </si>
  <si>
    <t>Sugars: 24.6 g</t>
  </si>
  <si>
    <t>Potassium: 1010 mg</t>
  </si>
  <si>
    <t>Ash: 1.11 g</t>
  </si>
  <si>
    <t>Water: 167.8 g</t>
  </si>
  <si>
    <t>209</t>
  </si>
  <si>
    <t>Garbanzo Beans (canned,</t>
  </si>
  <si>
    <t>41 pounds</t>
  </si>
  <si>
    <t>52 3/4 pounds</t>
  </si>
  <si>
    <t>58 1/2 pounds</t>
  </si>
  <si>
    <t xml:space="preserve">Combine all ingredients. Toss together and refrigerate </t>
  </si>
  <si>
    <t>2 hours before serving. Serve chilled.</t>
  </si>
  <si>
    <t>Cucumbers (halved lengthwise,</t>
  </si>
  <si>
    <t>19 1/4 cups</t>
  </si>
  <si>
    <t>21 1/2 cups</t>
  </si>
  <si>
    <t>Tomatoes</t>
  </si>
  <si>
    <t>10 1/4 cups</t>
  </si>
  <si>
    <t>11 1/2 cups</t>
  </si>
  <si>
    <t>Red Onion (chopped)</t>
  </si>
  <si>
    <t>Cloves Garlic (minced)</t>
  </si>
  <si>
    <t>Carrots (grated)</t>
  </si>
  <si>
    <t>10 cups (5 lbs)</t>
  </si>
  <si>
    <t>14 1/4 cups</t>
  </si>
  <si>
    <t>1 lb 5 3/4 oz</t>
  </si>
  <si>
    <t>Italian-Style Salad Dressing</t>
  </si>
  <si>
    <t>4 1/4 quarts</t>
  </si>
  <si>
    <t>Lemon (juiced)</t>
  </si>
  <si>
    <t>11 each</t>
  </si>
  <si>
    <t>3 Tbsp + 2 tsp</t>
  </si>
  <si>
    <t>Calories: 309</t>
  </si>
  <si>
    <t>Cholesterol: 3.2 mg</t>
  </si>
  <si>
    <t>Sodium: 652 mg</t>
  </si>
  <si>
    <t>Carbohydrate: 33 g</t>
  </si>
  <si>
    <t>Dietary Fiber: 9 g</t>
  </si>
  <si>
    <t>Sugar: 7 g</t>
  </si>
  <si>
    <t>207</t>
  </si>
  <si>
    <t>20 lbs - 160 Svgs</t>
  </si>
  <si>
    <t>28 1/8 lbs - 225 Servings</t>
  </si>
  <si>
    <t>31 1/4 lbs - 250 Servings</t>
  </si>
  <si>
    <t>Green Cabbage (fresh,</t>
  </si>
  <si>
    <t>12 Heads</t>
  </si>
  <si>
    <t>16-17 Heads</t>
  </si>
  <si>
    <t>18-19 Heads</t>
  </si>
  <si>
    <t xml:space="preserve">Place cabbage, carrots, and peppers (optional) in </t>
  </si>
  <si>
    <t>chilled, shredded)</t>
  </si>
  <si>
    <t>large bowl and toss lightly to mix.</t>
  </si>
  <si>
    <t>Pour Easy Coleslaw Dressing over vegetables.</t>
  </si>
  <si>
    <t>Mix thoroughly.</t>
  </si>
  <si>
    <t>Carrots (fresh, shredded)</t>
  </si>
  <si>
    <t xml:space="preserve">Spread 5 pounds 3 ounces (≈ 3 quarts 1/2 cup) into </t>
  </si>
  <si>
    <t xml:space="preserve">each shallow pan (12" x 20" x 2 1/2") to a product </t>
  </si>
  <si>
    <t xml:space="preserve">Green Peppers (fresh, </t>
  </si>
  <si>
    <t>depth of 2" or less (about 50 svgs/pan).</t>
  </si>
  <si>
    <t>chopped or diced) optional</t>
  </si>
  <si>
    <t>Easy Coleslaw Dressing</t>
  </si>
  <si>
    <t>1 1/2 (For 15</t>
  </si>
  <si>
    <t>2 (For 15</t>
  </si>
  <si>
    <t>2 1/8 (For 15</t>
  </si>
  <si>
    <t>Cover. Refrigerate until ready to serve.</t>
  </si>
  <si>
    <t>(Recipe 403)</t>
  </si>
  <si>
    <t>lbs Coleslaw)</t>
  </si>
  <si>
    <t>Mix lightly before serving.</t>
  </si>
  <si>
    <t>Calories: 41.7</t>
  </si>
  <si>
    <t>Saturated Fat: 0.05 g</t>
  </si>
  <si>
    <t>Cholesterol: 0.3 mg</t>
  </si>
  <si>
    <t>Sodium: 54.7 mg</t>
  </si>
  <si>
    <t>Total Carbohydrate: 7.9 g</t>
  </si>
  <si>
    <t>Vitamin A: 244.5 IU</t>
  </si>
  <si>
    <t>Protein: 1.7 g</t>
  </si>
  <si>
    <t>Vitamin C: 69.9 mg</t>
  </si>
  <si>
    <t>Sugars: 6.3 g</t>
  </si>
  <si>
    <t>Potassium: 3 mg</t>
  </si>
  <si>
    <t>Water: 1.8 g</t>
  </si>
  <si>
    <t>Added Sugars: 0.07 g</t>
  </si>
  <si>
    <t>220</t>
  </si>
  <si>
    <t>Cooking Spray</t>
  </si>
  <si>
    <t xml:space="preserve">Preheat oven to 400° F. Lightly spray baking sheet </t>
  </si>
  <si>
    <t>with cooking spray.</t>
  </si>
  <si>
    <t xml:space="preserve">Sweet Potatoes (small </t>
  </si>
  <si>
    <t>43 3/4 lbs</t>
  </si>
  <si>
    <t>56 1/4 lbs</t>
  </si>
  <si>
    <t>62 1/2 lbs</t>
  </si>
  <si>
    <t xml:space="preserve">Cut the sweet potatoes in strips about 4 x 1/4 x </t>
  </si>
  <si>
    <t>≈ 1/2 pound each)</t>
  </si>
  <si>
    <t>1/4 inches. Put the sweet potatoes in a bowl.</t>
  </si>
  <si>
    <t>7 1/3 Tbsp</t>
  </si>
  <si>
    <t xml:space="preserve">In a bowl, stir together the remaining ingredients. </t>
  </si>
  <si>
    <t xml:space="preserve">Sprinkle over the sweet potatoes. Stir gently to coat. </t>
  </si>
  <si>
    <t xml:space="preserve">Spread the sweet potatoes in a single layer on the </t>
  </si>
  <si>
    <t xml:space="preserve">baking sheet. Lightly spray the tops with cooking </t>
  </si>
  <si>
    <t>spray.</t>
  </si>
  <si>
    <t xml:space="preserve">Bake for 40-45 minutes, or until golden brown on the </t>
  </si>
  <si>
    <t xml:space="preserve">outside and tender on the inside, turning once with a </t>
  </si>
  <si>
    <t>spatula halfway through.</t>
  </si>
  <si>
    <t>5 1/2 tsp</t>
  </si>
  <si>
    <t>7 tsp</t>
  </si>
  <si>
    <t>7 3/4 tsp</t>
  </si>
  <si>
    <t>Calories: 97.5</t>
  </si>
  <si>
    <t>Total Fat: 0.06 g</t>
  </si>
  <si>
    <t>Saturated Fat: 0.01 g</t>
  </si>
  <si>
    <t>Sodium: 154 mg</t>
  </si>
  <si>
    <t>Total Carbohydrate: 23.7 g</t>
  </si>
  <si>
    <t>Dietary Fiber: 3.4 g</t>
  </si>
  <si>
    <t>Vitamin A: 16223 IU</t>
  </si>
  <si>
    <t>Protein: 1.8 g</t>
  </si>
  <si>
    <t>Vitamin C: 2.7 mg</t>
  </si>
  <si>
    <t>Calcium: 26 mg</t>
  </si>
  <si>
    <t>Sugars: 4.74 g</t>
  </si>
  <si>
    <t>Potassium: 382 mg</t>
  </si>
  <si>
    <t>Water: 87.6 g</t>
  </si>
  <si>
    <t>103 Servings</t>
  </si>
  <si>
    <t>Corn (frozen)</t>
  </si>
  <si>
    <t>48 1/2 lbs</t>
  </si>
  <si>
    <t>Mix all indredients.</t>
  </si>
  <si>
    <t>Heat to 135* F.</t>
  </si>
  <si>
    <t>Fresh Garlic (chopped)</t>
  </si>
  <si>
    <t>White Onion (diced)</t>
  </si>
  <si>
    <t>Roasted Red Pepper Strips</t>
  </si>
  <si>
    <t>4 1/3 cans</t>
  </si>
  <si>
    <t>4 7/8 cans</t>
  </si>
  <si>
    <t>4 1/3 ounces</t>
  </si>
  <si>
    <t>4 7/8 ounces</t>
  </si>
  <si>
    <t>Calories: 97</t>
  </si>
  <si>
    <t>Total Fat: 0.5 g</t>
  </si>
  <si>
    <t>Sodium: 58 mg</t>
  </si>
  <si>
    <t>Total Carbohydrate: 21.5 g</t>
  </si>
  <si>
    <t>Dietary Fiber: 2.4 g</t>
  </si>
  <si>
    <t>Iron: 2.35 mg</t>
  </si>
  <si>
    <t>Vitamin A: 1455.5 IU</t>
  </si>
  <si>
    <t>Protein: 2.5 g</t>
  </si>
  <si>
    <t>Vitamin C: 64 mg</t>
  </si>
  <si>
    <t>Calcium: 57 mg</t>
  </si>
  <si>
    <t>Sugars: 4.3 g</t>
  </si>
  <si>
    <t>Potassium: 306.5 mg</t>
  </si>
  <si>
    <t>Ash: 0.03 g</t>
  </si>
  <si>
    <t>Water: 8.1 g</t>
  </si>
  <si>
    <t>Side - Vegetable</t>
  </si>
  <si>
    <t>Potato Sweet Yam</t>
  </si>
  <si>
    <t>47 1/4 pounds</t>
  </si>
  <si>
    <t>Pre-preparation: Sweet potatoes yield 85% with skin.</t>
  </si>
  <si>
    <t>Clean potatoes.</t>
  </si>
  <si>
    <t>Place potatoes straight up in the Hobart chopper using the 5/32 (4) blade.</t>
  </si>
  <si>
    <t>Once potatoes are sliced, mix with oil and salt and place 6 pounds 12 oz</t>
  </si>
  <si>
    <t>5 1/4 tsp</t>
  </si>
  <si>
    <t>in plastic bag or fish tub. This is 25 servings.</t>
  </si>
  <si>
    <r>
      <t>Bake on lined sheet pans for 25 minutes in 350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oven.</t>
    </r>
  </si>
  <si>
    <t>Calories: 145</t>
  </si>
  <si>
    <t>Total Fat: 4.5 g</t>
  </si>
  <si>
    <t>Saturated Fat: 0.4 g</t>
  </si>
  <si>
    <t>Sodium: 125 mg</t>
  </si>
  <si>
    <t>Total Carbohydrate: 25 g</t>
  </si>
  <si>
    <t>Iron: 0.75 mg</t>
  </si>
  <si>
    <t>Vitamin A: 17375 IU</t>
  </si>
  <si>
    <t>Protein: 2 g</t>
  </si>
  <si>
    <t>Calcium: 36.7 mg</t>
  </si>
  <si>
    <t>Potassium: 412.7 mg</t>
  </si>
  <si>
    <t>Ash: 1.2 g</t>
  </si>
  <si>
    <t>Water: 95 g</t>
  </si>
  <si>
    <t xml:space="preserve">Stir first 12 ingredients together. Cover and chill until ready to serve. </t>
  </si>
  <si>
    <t>rinsed, drained)</t>
  </si>
  <si>
    <t>Garnish, if desired.</t>
  </si>
  <si>
    <t>Dark Red Kidney Beans</t>
  </si>
  <si>
    <t>(canned, rinsed, drained)</t>
  </si>
  <si>
    <t>Pinto Beans (canned, rinsed,</t>
  </si>
  <si>
    <t>Whole Kernel Corn (frozen,</t>
  </si>
  <si>
    <t>thawed)</t>
  </si>
  <si>
    <t>Red Onion (finely chopped)</t>
  </si>
  <si>
    <t>4 3/4 each</t>
  </si>
  <si>
    <t>9 1/2 each</t>
  </si>
  <si>
    <t>Green Chiles (canned, diced)</t>
  </si>
  <si>
    <t>Pimientos (drained, diced)</t>
  </si>
  <si>
    <t>2 pounds 6 oz</t>
  </si>
  <si>
    <t>Lime Rind (grated)</t>
  </si>
  <si>
    <t>4 3/4 tsp</t>
  </si>
  <si>
    <t>Lime Juice (fresh)</t>
  </si>
  <si>
    <t>1 cup + 3 Tbsp</t>
  </si>
  <si>
    <t>2 1/3 tsp</t>
  </si>
  <si>
    <t>Lime Slices (for garnish)</t>
  </si>
  <si>
    <t>As needed</t>
  </si>
  <si>
    <t>Calories: 144</t>
  </si>
  <si>
    <t>Saturated Fat: 0.2 g</t>
  </si>
  <si>
    <t>Carbohydrate: 28.2 g</t>
  </si>
  <si>
    <t>Protein: 7.2 g</t>
  </si>
  <si>
    <t>Extra-Virgin Olive Oil</t>
  </si>
  <si>
    <t>Combine all ingredients in large hotel pans, ensuring coated evenly with</t>
  </si>
  <si>
    <t>olive oil.</t>
  </si>
  <si>
    <t>Yukon Gold Potatoes (peeled</t>
  </si>
  <si>
    <t>Bake at 400° F for 30 minutes.</t>
  </si>
  <si>
    <t>&amp; cut 3/4" cubes)</t>
  </si>
  <si>
    <t>Garlic Cloves (quartered)</t>
  </si>
  <si>
    <t>Zucchini (cut 1/2" cubes)</t>
  </si>
  <si>
    <t>Rosemary</t>
  </si>
  <si>
    <t>Calories: 190</t>
  </si>
  <si>
    <t>Sodium: 115 mg</t>
  </si>
  <si>
    <t>Carbohydrate: 22 g</t>
  </si>
  <si>
    <t>200</t>
  </si>
  <si>
    <t>1 gallon + 2 3/4 cups</t>
  </si>
  <si>
    <t>2 gallons + 5 1/2 cups</t>
  </si>
  <si>
    <t xml:space="preserve">Bring the chicken broth to a boil in a skillet. Add the asparagus, cover and </t>
  </si>
  <si>
    <t>simmer about 7 minutes, or to desired tenderness. Remove asparagus with</t>
  </si>
  <si>
    <t>Asparagus (trimmed)</t>
  </si>
  <si>
    <t xml:space="preserve">a slotted spoon. Sprinkle with lemon juice to taste and grated parmesan </t>
  </si>
  <si>
    <t>Lemon Juice (fresh)</t>
  </si>
  <si>
    <t>Sprinkling</t>
  </si>
  <si>
    <t>Parmesan Cheese (grated)</t>
  </si>
  <si>
    <t>Total Fat: 14 g</t>
  </si>
  <si>
    <t>Sodium: 294 mg</t>
  </si>
  <si>
    <t>Carbohydrate: 4.6 g</t>
  </si>
  <si>
    <t>Protein: 8 g</t>
  </si>
  <si>
    <t>201</t>
  </si>
  <si>
    <t>Pinto Beans (canned)</t>
  </si>
  <si>
    <t>15 lbs 3 1/4 oz</t>
  </si>
  <si>
    <t>22 lbs 2 1/2 oz</t>
  </si>
  <si>
    <t xml:space="preserve">Sauté onion. Add garlic. Drain off 2/3 of the bean </t>
  </si>
  <si>
    <t xml:space="preserve">liquid and reserve. Add in the beans. Add remaining </t>
  </si>
  <si>
    <t>Kidney Beans (canned)</t>
  </si>
  <si>
    <t>11 lbs 1 1/4 oz</t>
  </si>
  <si>
    <t xml:space="preserve">ingredients. If needed, add in some bean liquid to </t>
  </si>
  <si>
    <t>achieve right consistency. Let simmer for one hour.</t>
  </si>
  <si>
    <t>Navy Beans (canned)</t>
  </si>
  <si>
    <t>Cool according to HACCP SOP.</t>
  </si>
  <si>
    <t>Serve hot according to HACCP SOP.</t>
  </si>
  <si>
    <t>1 cup + 2 tsp</t>
  </si>
  <si>
    <t>Yellow Onions (jumbo)</t>
  </si>
  <si>
    <t>1 lb 6 3/4 oz</t>
  </si>
  <si>
    <t>Garlic (whole)</t>
  </si>
  <si>
    <t>1 Tbsp + 1 1/4 tsp</t>
  </si>
  <si>
    <t>Mustard (ground)</t>
  </si>
  <si>
    <t>2 lbs 2 oz</t>
  </si>
  <si>
    <t>Ketchup (no HFCS)</t>
  </si>
  <si>
    <t>2 qts + 2 1/2 cups</t>
  </si>
  <si>
    <t>Canola/Olive Oil Blend</t>
  </si>
  <si>
    <t>4 Tbsp + 1 tsp</t>
  </si>
  <si>
    <t>BBQ Sauce</t>
  </si>
  <si>
    <t>8 1/3 oz</t>
  </si>
  <si>
    <t>10 1/2 oz</t>
  </si>
  <si>
    <t>11 3/4 oz</t>
  </si>
  <si>
    <t>Calories: 125.5</t>
  </si>
  <si>
    <t>Total Fat: 1.12 g</t>
  </si>
  <si>
    <t>Saturated Fat: 0.13 g</t>
  </si>
  <si>
    <t>Sodium: 451.4 mg</t>
  </si>
  <si>
    <t>Total Carbohydrate: 22.2 g</t>
  </si>
  <si>
    <t>Dietary Fiber: 3.6 g</t>
  </si>
  <si>
    <t>Vitamin A: 125.6 IU</t>
  </si>
  <si>
    <t>Vitamin C: 1.34 mg</t>
  </si>
  <si>
    <t>Calcium: 52.46 mg</t>
  </si>
  <si>
    <t>Sugars: 9.2 g</t>
  </si>
  <si>
    <t>Potassium: 182.5 mg</t>
  </si>
  <si>
    <t>Ash: 0.0158 g</t>
  </si>
  <si>
    <t>Water: 4.9 g</t>
  </si>
  <si>
    <t>Added Sugars: 0.0069 g</t>
  </si>
  <si>
    <t>202</t>
  </si>
  <si>
    <t>74 lbs</t>
  </si>
  <si>
    <t>95 lbs</t>
  </si>
  <si>
    <t>105 3/4 lbs</t>
  </si>
  <si>
    <t xml:space="preserve">Drain canned beans, reserve liquid. Weigh beans and </t>
  </si>
  <si>
    <t>liquid needed separately.</t>
  </si>
  <si>
    <t>Bean Liquid</t>
  </si>
  <si>
    <t>2 1/2 qts</t>
  </si>
  <si>
    <t>3 1/4 qts</t>
  </si>
  <si>
    <t>3 1/2 qts</t>
  </si>
  <si>
    <t>Combine beans and bean liquid with cumin and salt.</t>
  </si>
  <si>
    <t>Burr mix until half the beans are smooth.</t>
  </si>
  <si>
    <t>2 Tbsp + 1/2 tsp</t>
  </si>
  <si>
    <t>1/4 cup of beans = 2 ounces</t>
  </si>
  <si>
    <t>Put 10 pounds 7 ounces of product per pan.</t>
  </si>
  <si>
    <t>Calories: 45.63</t>
  </si>
  <si>
    <t>Total Fat: 0.01 g</t>
  </si>
  <si>
    <t>Saturated Fat: 0.0007 g</t>
  </si>
  <si>
    <t>Sodium: 182.16 mg</t>
  </si>
  <si>
    <t>Carbohydrate: 8.29 g</t>
  </si>
  <si>
    <t>Protein: 2.9 g</t>
  </si>
  <si>
    <t>Vitamin A: 0.57 IU</t>
  </si>
  <si>
    <t>Calcium: 25.48 mg</t>
  </si>
  <si>
    <t>Iron: 0.63 mg</t>
  </si>
  <si>
    <t>203</t>
  </si>
  <si>
    <t>Cauliflower</t>
  </si>
  <si>
    <t>4 heads</t>
  </si>
  <si>
    <t>8 heads</t>
  </si>
  <si>
    <t>16 heads</t>
  </si>
  <si>
    <t xml:space="preserve">Cut cauliflower and broccoli into bite size pieces.  </t>
  </si>
  <si>
    <t>Place 1 layer of veges into 32" steamable hotel pans.</t>
  </si>
  <si>
    <t>Broccoli</t>
  </si>
  <si>
    <t>Steam at Level 3 for 10 minutes.</t>
  </si>
  <si>
    <t xml:space="preserve">Remove from steamer and sprinkle each pan with </t>
  </si>
  <si>
    <t>1 cup/32" hotel pan</t>
  </si>
  <si>
    <t>1 cup of shredded cheddar jack cheese per pan.</t>
  </si>
  <si>
    <t>Cover and place pans on steam table or warmer to</t>
  </si>
  <si>
    <t>serve.</t>
  </si>
  <si>
    <t>Calories: 234</t>
  </si>
  <si>
    <t>Total Fat: 15 g</t>
  </si>
  <si>
    <t>Cholesterol: 44 mg</t>
  </si>
  <si>
    <t>Sodium: 421 mg</t>
  </si>
  <si>
    <t>Carbohydrate: 16 g</t>
  </si>
  <si>
    <t>Dietary Fiber: 4.4 g</t>
  </si>
  <si>
    <t>Protein: 9.9 g</t>
  </si>
  <si>
    <t>Vitamin A: 205 IU</t>
  </si>
  <si>
    <t>Iron: 0.2 mg</t>
  </si>
  <si>
    <t>Vitamin C: 8.6 mg</t>
  </si>
  <si>
    <t>210</t>
  </si>
  <si>
    <t>Garbanzo Beans or Chickpeas</t>
  </si>
  <si>
    <t>29 lbs 12 oz</t>
  </si>
  <si>
    <t>42 1/2 lbs</t>
  </si>
  <si>
    <t xml:space="preserve">Combine all ingredients in a food processor and puree </t>
  </si>
  <si>
    <t>to a smooth consistency.</t>
  </si>
  <si>
    <t>Lemon Juice (frozen</t>
  </si>
  <si>
    <t>11 1/3 cups</t>
  </si>
  <si>
    <t>14 1/2 cups</t>
  </si>
  <si>
    <t xml:space="preserve">Spread 5 pounds 1/2 ounce (≈ 3 quarts 1 cup) into </t>
  </si>
  <si>
    <t>concentrate, reconstituted)</t>
  </si>
  <si>
    <r>
      <t xml:space="preserve">Peanut Butter </t>
    </r>
    <r>
      <rPr>
        <sz val="10"/>
        <color rgb="FFFF0000"/>
        <rFont val="Arial"/>
        <family val="2"/>
      </rPr>
      <t>or</t>
    </r>
  </si>
  <si>
    <t>depth of 2" or less (25 servings per pan).</t>
  </si>
  <si>
    <r>
      <t xml:space="preserve">Tahini </t>
    </r>
    <r>
      <rPr>
        <sz val="10"/>
        <color rgb="FFFF0000"/>
        <rFont val="Arial"/>
        <family val="2"/>
      </rPr>
      <t>or</t>
    </r>
  </si>
  <si>
    <t>CCP: Chill to 41° F or lower within 4 hours.</t>
  </si>
  <si>
    <t>Sunflower Seed Butter</t>
  </si>
  <si>
    <t>Cover. Refrigerate until service.</t>
  </si>
  <si>
    <t>Garlic Clove (peeled)</t>
  </si>
  <si>
    <t>Calories: 182</t>
  </si>
  <si>
    <t>Total Fat: 7.9 g</t>
  </si>
  <si>
    <t>Saturated Fat: 1.44 g</t>
  </si>
  <si>
    <t>Sodium: 301 mg</t>
  </si>
  <si>
    <t>Carbohydrate: 22.37 g</t>
  </si>
  <si>
    <t>Protein: 7.49 g</t>
  </si>
  <si>
    <t>Calcium: 37 mg</t>
  </si>
  <si>
    <t>Iron: 1.38 mg</t>
  </si>
  <si>
    <t>Vitamin C: 7.7 mg</t>
  </si>
  <si>
    <t>213</t>
  </si>
  <si>
    <t>Yukon Gold or Red</t>
  </si>
  <si>
    <t>46 lbs 10 1/2 oz</t>
  </si>
  <si>
    <t>60 lbs</t>
  </si>
  <si>
    <t>66 2/3 lbs</t>
  </si>
  <si>
    <t xml:space="preserve">Boil potatoes in a large stock pot for 35-40 minutes </t>
  </si>
  <si>
    <t>Potatoes (unpeeled/cubed)</t>
  </si>
  <si>
    <t>until tender. Drain well.</t>
  </si>
  <si>
    <t>2 qts + 1 3/4 pints</t>
  </si>
  <si>
    <t>NOTE: Start with 3/4 of the butter and 1/2 the milk</t>
  </si>
  <si>
    <t>and add as needed until smooth but not gravy-like.</t>
  </si>
  <si>
    <t>Heat milk over medium heat. Stir occasionally.</t>
  </si>
  <si>
    <t>Add butter, salt, and pepper. Mix well. DO NOT BOIL.</t>
  </si>
  <si>
    <t>6 Tbsp + 1 1/4 tsp</t>
  </si>
  <si>
    <t>8 1/4 Tbsp</t>
  </si>
  <si>
    <t xml:space="preserve">Combine milk and potatoes; use immersion blender </t>
  </si>
  <si>
    <t xml:space="preserve">to mash until smooth and free of lumps </t>
  </si>
  <si>
    <t>(≈ 10-12 minutes).</t>
  </si>
  <si>
    <t>Transfer to steamtable pan.</t>
  </si>
  <si>
    <t>Option: Garnish with black pepper.</t>
  </si>
  <si>
    <t>Portion with 4 ounce scoop (1/2 cup).</t>
  </si>
  <si>
    <t>Calories: 120.83</t>
  </si>
  <si>
    <t>Total Fat: 4.3 g</t>
  </si>
  <si>
    <t>Saturated Fat: 2.69 g</t>
  </si>
  <si>
    <t>Cholesterol: 11.53 mg</t>
  </si>
  <si>
    <t>Sodium: 223 mg</t>
  </si>
  <si>
    <t>Carbohydrate: 18.57 g</t>
  </si>
  <si>
    <t>Dietary Fiber: 2.24 g</t>
  </si>
  <si>
    <t>Protein: 2.64 g</t>
  </si>
  <si>
    <t>Vitamin A: 158.35 IU</t>
  </si>
  <si>
    <t>Calcium: 33.74 mg</t>
  </si>
  <si>
    <t>Vitamin C: 20.02 mg</t>
  </si>
  <si>
    <t>204</t>
  </si>
  <si>
    <t>10 1/4 gallons</t>
  </si>
  <si>
    <t>Sauté onion, garlic and poblanos in olive oil.</t>
  </si>
  <si>
    <t>Add spices. Add tomatoes and cook 2 minutes.</t>
  </si>
  <si>
    <t>Yellow Onion (chopped)</t>
  </si>
  <si>
    <t>20 1/4 cups</t>
  </si>
  <si>
    <t>Add broth and bring to boil.</t>
  </si>
  <si>
    <t>Add cilantro and corn tortillas after cooked, just prior</t>
  </si>
  <si>
    <t>Garlic Cloves (minced) or</t>
  </si>
  <si>
    <t>26 each</t>
  </si>
  <si>
    <t>52 each</t>
  </si>
  <si>
    <t>to serving.</t>
  </si>
  <si>
    <t>Garlic (seasoning)</t>
  </si>
  <si>
    <t>7 2/3 Tbsp</t>
  </si>
  <si>
    <t>10 each</t>
  </si>
  <si>
    <t>Chipotle Seasoning</t>
  </si>
  <si>
    <t>Tomatoes (crushed)</t>
  </si>
  <si>
    <t>3/4 can</t>
  </si>
  <si>
    <t>1 can</t>
  </si>
  <si>
    <t>1 1/2 cans</t>
  </si>
  <si>
    <t>Corn Tortillas (sliced)</t>
  </si>
  <si>
    <t>Chicken (optional)</t>
  </si>
  <si>
    <t>15 lbs</t>
  </si>
  <si>
    <t>30 lbs</t>
  </si>
  <si>
    <t>Lime Juice (if chicken used)</t>
  </si>
  <si>
    <t>1.392 (w/chicken)</t>
  </si>
  <si>
    <t>Calories: 71.27</t>
  </si>
  <si>
    <t>Total Fat: 2.58 g</t>
  </si>
  <si>
    <t>Saturated Fat: 0.56 g</t>
  </si>
  <si>
    <t>Cholesterol: 16.87 mg</t>
  </si>
  <si>
    <t>Sodium: 130.25 mg</t>
  </si>
  <si>
    <t>Carbohydrate: 5.33 g</t>
  </si>
  <si>
    <t>Dietary Fiber: 0.86 g</t>
  </si>
  <si>
    <t>Protein: 5.74 g</t>
  </si>
  <si>
    <t>Vitamin A: 155.3 IU</t>
  </si>
  <si>
    <t>Calcium: 17 mg</t>
  </si>
  <si>
    <t>Iron: 0.46 mg</t>
  </si>
  <si>
    <t>Vitamin C: 4.84 mg</t>
  </si>
  <si>
    <t>205</t>
  </si>
  <si>
    <t>Sweet Potatoes (fresh,</t>
  </si>
  <si>
    <t>74 1/4 lbs</t>
  </si>
  <si>
    <t>82 1/2 lbs</t>
  </si>
  <si>
    <t>Wash sweet potatoes well, scrubbing thoroughly.</t>
  </si>
  <si>
    <t>wedges or sticks)</t>
  </si>
  <si>
    <t>Leave skin on and cut into wedges about 1 1/2" thick</t>
  </si>
  <si>
    <t>5 tbsp</t>
  </si>
  <si>
    <t>OR purchase precut sweet potato wedges or sticks.</t>
  </si>
  <si>
    <t>(Option: Use a 6 cut potato wedger to cut fresh</t>
  </si>
  <si>
    <t>potatoes into wedges; wall mount is easiest to use)</t>
  </si>
  <si>
    <t>Place sweet potatoes in a large mixing bowl.</t>
  </si>
  <si>
    <t xml:space="preserve">Combine chili powder, sugar, black pepper, white </t>
  </si>
  <si>
    <t>pepper, granulated garlic, and salt. Drizzle potatoes</t>
  </si>
  <si>
    <t>White Pepper</t>
  </si>
  <si>
    <t>with oil and sprinkle with seasoning. Mix well to coat</t>
  </si>
  <si>
    <t>evenly with oil and seasonings.</t>
  </si>
  <si>
    <t>Place on sheet pans. Do not use parchment pan</t>
  </si>
  <si>
    <t>liners. For 50 servings use 2 full sheet pans</t>
  </si>
  <si>
    <t>(18"x26"x1"). Do not crowd the sweet potatoes or</t>
  </si>
  <si>
    <t>they will steam in the oven.</t>
  </si>
  <si>
    <r>
      <t>Bake at 400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for 12-15 minutes, or until tender and</t>
    </r>
  </si>
  <si>
    <t>browned in spots.</t>
  </si>
  <si>
    <t>Total Fat: 4.6 g</t>
  </si>
  <si>
    <t>Sodium: 36.6 mg</t>
  </si>
  <si>
    <t>Carbohydrate: 31.2 g</t>
  </si>
  <si>
    <t>Protein: 2.3 g</t>
  </si>
  <si>
    <t>Vitamin A: 27593 IU</t>
  </si>
  <si>
    <t>Calcium: 47.2 mg</t>
  </si>
  <si>
    <t>Vitamin C: 12 mg</t>
  </si>
  <si>
    <t>206</t>
  </si>
  <si>
    <t>2 gallons + 1 3/4 qt</t>
  </si>
  <si>
    <t>Boil water.</t>
  </si>
  <si>
    <t>Place 1 lb 9 oz brown long grain rice into each steam</t>
  </si>
  <si>
    <t>Rice (brown, long grain, dry)</t>
  </si>
  <si>
    <t>table pan (12" x 20" x 2 1/2"), totaling 4 pans for 100</t>
  </si>
  <si>
    <t>servings.</t>
  </si>
  <si>
    <t>Pour 2 quarts 1 3/4 cups of boiling water into each</t>
  </si>
  <si>
    <t>Cilantro (fresh, chopped)</t>
  </si>
  <si>
    <r>
      <t>Cover pans tightly. Bake in conventional oven at 350</t>
    </r>
    <r>
      <rPr>
        <sz val="10"/>
        <color theme="1"/>
        <rFont val="Calibri"/>
        <family val="2"/>
      </rPr>
      <t>°</t>
    </r>
  </si>
  <si>
    <t>F for 50 minutes. Remove from oven or steamer.</t>
  </si>
  <si>
    <t>Mix in lime juice and chopped cilantro prior to service</t>
  </si>
  <si>
    <t>(about 3/8 cup of lime juice and 5/8 cup cilantro per</t>
  </si>
  <si>
    <t>pan).</t>
  </si>
  <si>
    <t>Saturated Fat: 0.18 g</t>
  </si>
  <si>
    <t>Cholesterol: 1 mg</t>
  </si>
  <si>
    <t>Sodium: 6 mg</t>
  </si>
  <si>
    <t>Calcium:</t>
  </si>
  <si>
    <t>211</t>
  </si>
  <si>
    <t>Fennel Bulb (finely chopped)</t>
  </si>
  <si>
    <t>32 3/4 cups</t>
  </si>
  <si>
    <t>42 cups</t>
  </si>
  <si>
    <t>46 3/4 cups</t>
  </si>
  <si>
    <t>Combine all ingredients except the cheese in a bowl.</t>
  </si>
  <si>
    <t>Toss well.</t>
  </si>
  <si>
    <t>21 3/4 cups</t>
  </si>
  <si>
    <t>28 cups</t>
  </si>
  <si>
    <t>31 1/4 cups</t>
  </si>
  <si>
    <t>Let stand 30 minutes; sprinkle with feta cheese.</t>
  </si>
  <si>
    <t>Serve cold.</t>
  </si>
  <si>
    <t>19 cups</t>
  </si>
  <si>
    <t>24 1/2 cups</t>
  </si>
  <si>
    <t>27 1/3 cups</t>
  </si>
  <si>
    <t>Basil (fresh, chopped)</t>
  </si>
  <si>
    <t>15 1/2 cups</t>
  </si>
  <si>
    <t>Balsamic Vinegar</t>
  </si>
  <si>
    <t>15 1/2 Tbsp</t>
  </si>
  <si>
    <t>11 tsp</t>
  </si>
  <si>
    <t>14 tsp</t>
  </si>
  <si>
    <t>15 1/2 tsp</t>
  </si>
  <si>
    <t>44 each</t>
  </si>
  <si>
    <t>56 each</t>
  </si>
  <si>
    <t>62 each</t>
  </si>
  <si>
    <t>27 lbs</t>
  </si>
  <si>
    <t>Calories: 159</t>
  </si>
  <si>
    <t>Total Fat: 5.2 g</t>
  </si>
  <si>
    <t>Saturated Fat: 1.3 g</t>
  </si>
  <si>
    <t>Cholesterol: 6 mg</t>
  </si>
  <si>
    <t>Sodium: 368 mg</t>
  </si>
  <si>
    <t>Carbohydrate: 23.9 g</t>
  </si>
  <si>
    <t>Dietary Fiber: 5.9 g</t>
  </si>
  <si>
    <t>Protein: 5.9 g</t>
  </si>
  <si>
    <t>Calcium: 103 mg</t>
  </si>
  <si>
    <t>218</t>
  </si>
  <si>
    <t>Butternut Squash</t>
  </si>
  <si>
    <t>33 lbs 4 oz</t>
  </si>
  <si>
    <t>78 lbs</t>
  </si>
  <si>
    <t>86 1/2 lbs</t>
  </si>
  <si>
    <t>Preheat convection oven to 375° F.</t>
  </si>
  <si>
    <t>Using a vegetable peeler, remove skin from squash.</t>
  </si>
  <si>
    <t>Cut squash in half using a chef's knife, and remove</t>
  </si>
  <si>
    <t>seeds using a large spoon. To prevent injury, wear a</t>
  </si>
  <si>
    <t>safety glove on the hand not holding the chef's knife.</t>
  </si>
  <si>
    <t>Use the chef's knife to dice the squash into medium</t>
  </si>
  <si>
    <t>dice pieced (1/2 inch).</t>
  </si>
  <si>
    <t>Pour olive oil over diced squash. Toss and coat well.</t>
  </si>
  <si>
    <t>Place 4 lbs 2 1/2 oz of diced squash on each full</t>
  </si>
  <si>
    <t>sized sheet pan (18"x26"x1"). Do not overload pan</t>
  </si>
  <si>
    <t>because the bottom layer will steam, not roast.</t>
  </si>
  <si>
    <t>Roast squash at 375° F for approximately 40 minutes</t>
  </si>
  <si>
    <t>until golden brown.</t>
  </si>
  <si>
    <t>CCP: Hold at or above 135° F before and during</t>
  </si>
  <si>
    <t>Portion 1/2 cup squash per serving.</t>
  </si>
  <si>
    <t>NOTES:</t>
  </si>
  <si>
    <t>Purchase amount for 100 servings of</t>
  </si>
  <si>
    <t>fresh squash is 40 lbs.</t>
  </si>
  <si>
    <t>Calories: 70</t>
  </si>
  <si>
    <t>Sodium: 200 mg</t>
  </si>
  <si>
    <t>Carbohydrate: 9 g</t>
  </si>
  <si>
    <t>Vitamin A: 5350 IU</t>
  </si>
  <si>
    <t>Calcium: 23 mg</t>
  </si>
  <si>
    <t>Iron: 0.5 mg</t>
  </si>
  <si>
    <t>Broccoli Florets</t>
  </si>
  <si>
    <t>8 1/3 lbs</t>
  </si>
  <si>
    <t>20 3/4 lbs</t>
  </si>
  <si>
    <t>Thoroughly wash vegetables.</t>
  </si>
  <si>
    <t>Slice carrots.</t>
  </si>
  <si>
    <t>Carrots (sliced)</t>
  </si>
  <si>
    <t>Cut cauliflower into 1-inch pieces.</t>
  </si>
  <si>
    <t>Cut broccoli into 1-inch pieces, if using a full head.</t>
  </si>
  <si>
    <t>Cauliflower (1 inch pieces)</t>
  </si>
  <si>
    <t>Put vegetables in hotel pan and steam until just</t>
  </si>
  <si>
    <t>Cover and place in steam table.</t>
  </si>
  <si>
    <t>Calories: 35.4</t>
  </si>
  <si>
    <t>Total Fat: 0.13 g</t>
  </si>
  <si>
    <t>Sodium: 60.7 mg</t>
  </si>
  <si>
    <t>Total Carbohydrate: 7.3 g</t>
  </si>
  <si>
    <t>Vitamin A: 2731 IU</t>
  </si>
  <si>
    <t>Vitamin C: 59.3 mg</t>
  </si>
  <si>
    <t>Calcium: 32.5 mg</t>
  </si>
  <si>
    <t>Sugars: 3.7 g</t>
  </si>
  <si>
    <t>Sweet, Russet, or Red</t>
  </si>
  <si>
    <t>36 lbs</t>
  </si>
  <si>
    <t>81 lbs</t>
  </si>
  <si>
    <t>90 lbs</t>
  </si>
  <si>
    <t>Preheat oven to 425° F.</t>
  </si>
  <si>
    <t>Scrub potatoes and slice, wedge, or chop them into</t>
  </si>
  <si>
    <t>5 5/8 cups</t>
  </si>
  <si>
    <t>chunks.</t>
  </si>
  <si>
    <t>Toss potatoes in a large bowl with rest of ingredients.</t>
  </si>
  <si>
    <t>Place on a sheet pan in a single layer and bake for</t>
  </si>
  <si>
    <t>30 minutes.</t>
  </si>
  <si>
    <t>Toss potatoes, then bake an additional 30 minutes</t>
  </si>
  <si>
    <t>until lightly golden brown.</t>
  </si>
  <si>
    <t>60 each</t>
  </si>
  <si>
    <t>135 each</t>
  </si>
  <si>
    <t>150 each</t>
  </si>
  <si>
    <t>Fresh Thyme (chopped)</t>
  </si>
  <si>
    <t>3 1/8 Tbsp</t>
  </si>
  <si>
    <t>Fresh Rosemary (chopped)</t>
  </si>
  <si>
    <t>Fresh Sage (chopped)</t>
  </si>
  <si>
    <t>3 1/8 tsp</t>
  </si>
  <si>
    <t>Calories: 188.5</t>
  </si>
  <si>
    <t>Total Fat: 5.3 g</t>
  </si>
  <si>
    <t>Saturated Fat: 0.8 g</t>
  </si>
  <si>
    <t>Sodium: 93.4 mg</t>
  </si>
  <si>
    <t>Total Carbohydrate: 33.5 g</t>
  </si>
  <si>
    <t>Dietary Fiber: 4.9 g</t>
  </si>
  <si>
    <t>Vitamin A: 23166 IU</t>
  </si>
  <si>
    <t>Vitamin C: 4.6 mg</t>
  </si>
  <si>
    <t>Calcium: 55 mg</t>
  </si>
  <si>
    <t>Sugars: 6.8 g</t>
  </si>
  <si>
    <t>Potassium: 550.3 mg</t>
  </si>
  <si>
    <t>Ash: 1.6 g</t>
  </si>
  <si>
    <t>Water: 126.2 g</t>
  </si>
  <si>
    <t>Thoroughly wash celery, tomatoes, carrots, and cucumbers. Dice celery and tomatoes.</t>
  </si>
  <si>
    <t>Slice carrots and cucumbers.</t>
  </si>
  <si>
    <t>Put 1 cup of spring mix in serving container. Top with 1/6 cup diced celery, 1/8 cup diced tomatoes,</t>
  </si>
  <si>
    <t>1/7 cup sliced carrots, and 1/7 cup sliced cucumber.</t>
  </si>
  <si>
    <t>50 ounces</t>
  </si>
  <si>
    <t>Calories: 25</t>
  </si>
  <si>
    <t>Total Fat: 0.045 g</t>
  </si>
  <si>
    <t>Saturated Fat: 0.00455 g</t>
  </si>
  <si>
    <t>Total Carbohydrate: 5 g</t>
  </si>
  <si>
    <t>Dietary Fiber: 1.7 g</t>
  </si>
  <si>
    <t>Vitamin A: 3508 IU</t>
  </si>
  <si>
    <t>Protein: 1.6 g</t>
  </si>
  <si>
    <t>Vitamin C: 14.06 mg</t>
  </si>
  <si>
    <t>Calcium: 55.6 mg</t>
  </si>
  <si>
    <t>Potassium: 53.75 mg</t>
  </si>
  <si>
    <t>Water: 21.4 g</t>
  </si>
  <si>
    <t>120 Servings</t>
  </si>
  <si>
    <t>6 #10 Cans</t>
  </si>
  <si>
    <t>11 1/4 #10 Cans</t>
  </si>
  <si>
    <t>12 1/2 #10 Cans</t>
  </si>
  <si>
    <t>Serve either hold or cold.</t>
  </si>
  <si>
    <t>1 7/8 cups</t>
  </si>
  <si>
    <t>5 5/8 Tbsp</t>
  </si>
  <si>
    <t>Crushed Tomatoes</t>
  </si>
  <si>
    <t>4 quarts</t>
  </si>
  <si>
    <t>3 3/4 ounces</t>
  </si>
  <si>
    <t>Calories: 150</t>
  </si>
  <si>
    <t>Total Fat: 0.47 g</t>
  </si>
  <si>
    <t>Saturated Fat: 0.066 g</t>
  </si>
  <si>
    <t>Total Carbohydrate: 27 g</t>
  </si>
  <si>
    <t>Dietary Fiber: 7 g</t>
  </si>
  <si>
    <t>Vitamin A: 172.8 IU</t>
  </si>
  <si>
    <t>Calcium: 74 mg</t>
  </si>
  <si>
    <t>Sugars: 2.6 g</t>
  </si>
  <si>
    <t>Potassium: 741.4 mg</t>
  </si>
  <si>
    <t>Water: 25.5 g</t>
  </si>
  <si>
    <t>Added Sugars: 4 g</t>
  </si>
  <si>
    <t>Mix carrots with olive oil to coat lightly.</t>
  </si>
  <si>
    <t>Sprinkle with salt and pepper.</t>
  </si>
  <si>
    <t>To Coat</t>
  </si>
  <si>
    <t>Bake at 350* F for 40 minutes to internal temperature</t>
  </si>
  <si>
    <t>of 135* F.</t>
  </si>
  <si>
    <t>Calories: 59.3</t>
  </si>
  <si>
    <t>Total Fat: 1.8 g</t>
  </si>
  <si>
    <t>Sodium: 89.7 mg</t>
  </si>
  <si>
    <t>Total Carbohydrate: 10 g</t>
  </si>
  <si>
    <t>Vitamin A: 7996 IU</t>
  </si>
  <si>
    <t>Protein: 1.45 g</t>
  </si>
  <si>
    <t>Sugars: 7.3 g</t>
  </si>
  <si>
    <t>Potassium: 0.02 mg</t>
  </si>
  <si>
    <t>26 Servings</t>
  </si>
  <si>
    <t>150 Servings</t>
  </si>
  <si>
    <t>Sweet Potato (medium</t>
  </si>
  <si>
    <t>28 7/8 pounds</t>
  </si>
  <si>
    <t>48 pounds</t>
  </si>
  <si>
    <t>Red Onion (medium diced)</t>
  </si>
  <si>
    <t>4 7/8 pounds</t>
  </si>
  <si>
    <t>Red Pepper (medium</t>
  </si>
  <si>
    <t>Green Pepper (medium</t>
  </si>
  <si>
    <t>Scallions (sliced)</t>
  </si>
  <si>
    <t>6 1/2 pounds cooked = 26-4 ounce servings</t>
  </si>
  <si>
    <t>2 7/8 Tbsp</t>
  </si>
  <si>
    <t>4 7/8 Tbsp</t>
  </si>
  <si>
    <t>14 1/2 Tbsp</t>
  </si>
  <si>
    <t>5 3/4 tsp</t>
  </si>
  <si>
    <t>9 1/2 tsp</t>
  </si>
  <si>
    <t>19 1/4 Tbsp</t>
  </si>
  <si>
    <t>Calories: 84</t>
  </si>
  <si>
    <t>Total Fat: 0.05 g</t>
  </si>
  <si>
    <t>Sodium: 83.6 mg</t>
  </si>
  <si>
    <t>Total Carbohydrate: 19.9 g</t>
  </si>
  <si>
    <t>Vitamin A: 12631 IU</t>
  </si>
  <si>
    <t>Vitamin C: 17 mg</t>
  </si>
  <si>
    <t>Calcium: 34.5 mg</t>
  </si>
  <si>
    <t>Potassium: 306.7 mg</t>
  </si>
  <si>
    <t>Water: 80 g</t>
  </si>
  <si>
    <t>Garlic Roasted Cauliflower (M. Clayton)</t>
  </si>
  <si>
    <t>Cauliflower Florets</t>
  </si>
  <si>
    <t>62 1/2 pounds</t>
  </si>
  <si>
    <t>Mint (chopped)</t>
  </si>
  <si>
    <t>Red Chili Flakes</t>
  </si>
  <si>
    <t>18 3/4 Tbsp</t>
  </si>
  <si>
    <t>7 1/2 tsp</t>
  </si>
  <si>
    <t>5 pounds cooked = 20-4 ounce servings</t>
  </si>
  <si>
    <t>Coriander</t>
  </si>
  <si>
    <t>Garlic Cloves</t>
  </si>
  <si>
    <t>37 1/2 each</t>
  </si>
  <si>
    <t>62 1/2 each</t>
  </si>
  <si>
    <t>Sodium: 86 mg</t>
  </si>
  <si>
    <t>Total Carbohydrate: 21 g</t>
  </si>
  <si>
    <t>Vitamin A: 12794 IU</t>
  </si>
  <si>
    <t>Vitamin C: 20 mg</t>
  </si>
  <si>
    <t>Calcium: 46 mg</t>
  </si>
  <si>
    <t>Zucchini (large diced)</t>
  </si>
  <si>
    <t>7 7/8 pounds</t>
  </si>
  <si>
    <t xml:space="preserve">Summer Squash (large  </t>
  </si>
  <si>
    <t>Yellow Onion (medium</t>
  </si>
  <si>
    <t>#10 can</t>
  </si>
  <si>
    <t>3 1/8 #10 can</t>
  </si>
  <si>
    <t>5 1/5 #10 cans</t>
  </si>
  <si>
    <t>12 pounds cooked = 48-4 ounce servings</t>
  </si>
  <si>
    <t>5 1/5 Tbsp</t>
  </si>
  <si>
    <t>Calories: 38.4795</t>
  </si>
  <si>
    <t>Total Fat: 0.0142 g</t>
  </si>
  <si>
    <t>Saturated Fat: 0.0057 g</t>
  </si>
  <si>
    <t>Sodium: 191.2337 mg</t>
  </si>
  <si>
    <t>Total Carbohydrate: 8.2528 g</t>
  </si>
  <si>
    <t>Dietary Fiber: 1.9155 g</t>
  </si>
  <si>
    <t>Iron: 0.5166  mg</t>
  </si>
  <si>
    <t>Vitamin A: 879.368 IU</t>
  </si>
  <si>
    <t>Protein: 1.1262 g</t>
  </si>
  <si>
    <t>Vitamin C: 12.334 mg</t>
  </si>
  <si>
    <t>Calcium: 125.7246 mg</t>
  </si>
  <si>
    <t>Sugars: 2.5759 g</t>
  </si>
  <si>
    <t>Potassium: 161.0154 mg</t>
  </si>
  <si>
    <t>Ash: 0.4526 g</t>
  </si>
  <si>
    <t>Water: 59.5439 g</t>
  </si>
  <si>
    <t>Added Sugars: 2.5759  g</t>
  </si>
  <si>
    <t>Rolls - Yeast (USDA)</t>
  </si>
  <si>
    <t>314</t>
  </si>
  <si>
    <t>50 2-oz Servings</t>
  </si>
  <si>
    <t>100 2-oz Servings</t>
  </si>
  <si>
    <t>100 1-oz Servings</t>
  </si>
  <si>
    <t>200 1-oz Servings</t>
  </si>
  <si>
    <t>Cost/2 oz Roll</t>
  </si>
  <si>
    <t>Cost/1 oz Roll</t>
  </si>
  <si>
    <t>Place flour, powdered milk, and salt in bowl.</t>
  </si>
  <si>
    <t>Add oil to yeast, sugar, and water; then add flour, powdered milk and salt.</t>
  </si>
  <si>
    <t>Knead dough for 8 minutes on low speed or until dough is smooth and</t>
  </si>
  <si>
    <t>elastic.</t>
  </si>
  <si>
    <t>Set proof box to 105*-110* F and proof until double in size.</t>
  </si>
  <si>
    <t>Punch down dough to remove air bubbles.</t>
  </si>
  <si>
    <t>Form rolls from dough by pinching off 2 ounce pieces (1 ounce for 1-ounce</t>
  </si>
  <si>
    <t>roll) and shaping. Place rolls in rows of 5 across and 10 down on sheet</t>
  </si>
  <si>
    <t>pans (18" x 26" x 1") which have been lightly coated with pan</t>
  </si>
  <si>
    <t>release spray (50 servings per pan).</t>
  </si>
  <si>
    <t>Place sheet pans in proof box and proof for 20 minutes.</t>
  </si>
  <si>
    <t>Bake at 350° F for 5-6 minutes; rotate and bake additional 5-6 minutes.</t>
  </si>
  <si>
    <t>With Pasta Entree: HS - 1 ounce roll; MS &amp; Elementary - 1 ounce roll</t>
  </si>
  <si>
    <t>All other entrees: All - 2 ounce roll</t>
  </si>
  <si>
    <t>Butter (melted) optional</t>
  </si>
  <si>
    <t>Optional: Brush lightly with melted butter (≈ 1 Tbsp) while warm.</t>
  </si>
  <si>
    <r>
      <t xml:space="preserve">Special Tip: </t>
    </r>
    <r>
      <rPr>
        <sz val="10"/>
        <color theme="1"/>
        <rFont val="Arial"/>
        <family val="2"/>
      </rPr>
      <t>To use high-activity (instant) yeast, follow package directions.</t>
    </r>
  </si>
  <si>
    <r>
      <rPr>
        <b/>
        <sz val="10"/>
        <color theme="1"/>
        <rFont val="Arial"/>
        <family val="2"/>
      </rPr>
      <t>Slider Buns</t>
    </r>
    <r>
      <rPr>
        <sz val="10"/>
        <color theme="1"/>
        <rFont val="Arial"/>
        <family val="2"/>
      </rPr>
      <t xml:space="preserve">: Each 100-batch of dough makes </t>
    </r>
    <r>
      <rPr>
        <sz val="10"/>
        <color theme="1"/>
        <rFont val="Calibri"/>
        <family val="2"/>
      </rPr>
      <t>≈</t>
    </r>
    <r>
      <rPr>
        <sz val="10.3"/>
        <color theme="1"/>
        <rFont val="Arial"/>
        <family val="2"/>
      </rPr>
      <t xml:space="preserve"> 140 1.5 ounce rolls (or</t>
    </r>
  </si>
  <si>
    <r>
      <t>70 servings per batch).  Bake at 350</t>
    </r>
    <r>
      <rPr>
        <sz val="10"/>
        <color theme="1"/>
        <rFont val="Calibri"/>
        <family val="2"/>
      </rPr>
      <t>°</t>
    </r>
    <r>
      <rPr>
        <sz val="10.3"/>
        <color theme="1"/>
        <rFont val="Arial"/>
        <family val="2"/>
      </rPr>
      <t xml:space="preserve"> F for 10 minutes, rotate halfway</t>
    </r>
  </si>
  <si>
    <t>through.</t>
  </si>
  <si>
    <t>Meal Pattern Contribution - 2 ounce Roll</t>
  </si>
  <si>
    <t>Nutrient Analysis - 2 ounce Roll</t>
  </si>
  <si>
    <t>Calories: 261</t>
  </si>
  <si>
    <t>Cholesterol: 29.6 mg</t>
  </si>
  <si>
    <t>Sodium: 297.7 mg</t>
  </si>
  <si>
    <t>Iron: 0.67 mg</t>
  </si>
  <si>
    <t>Vitamin A: 40.76 IU</t>
  </si>
  <si>
    <t>Calcium: 24.45 mg</t>
  </si>
  <si>
    <t>Sugars: 4.5 g</t>
  </si>
  <si>
    <t>Vitamin D: 0.4 mcg</t>
  </si>
  <si>
    <t>Potassium: 23 mg</t>
  </si>
  <si>
    <t>Water: 0.02 g</t>
  </si>
  <si>
    <t>Meal Pattern Contribution - 1 ounce Roll</t>
  </si>
  <si>
    <t>Nutrient Analysis - 1 ounce Roll</t>
  </si>
  <si>
    <t>Calories: 130.7</t>
  </si>
  <si>
    <t>Total Fat: 7.5 g</t>
  </si>
  <si>
    <t>Cholesterol: 14.8 mg</t>
  </si>
  <si>
    <t>Sodium: 149 mg</t>
  </si>
  <si>
    <t>Total Carbohydrate: 14 g</t>
  </si>
  <si>
    <t>Iron: 0.3 mg</t>
  </si>
  <si>
    <t>Vitamin A: 20 IU</t>
  </si>
  <si>
    <t>Vitamin C: 0.05 mg</t>
  </si>
  <si>
    <t>Calcium: 12.2 mg</t>
  </si>
  <si>
    <t>Potassium: 11.5 mg</t>
  </si>
  <si>
    <t>Ash: 0.004 g</t>
  </si>
  <si>
    <t>Water: 0.009 g</t>
  </si>
  <si>
    <t>307</t>
  </si>
  <si>
    <t>Water (warm ≈ 110° F)</t>
  </si>
  <si>
    <t xml:space="preserve">Knead dough for 8-10 minutes on medium speed or until dough is smooth </t>
  </si>
  <si>
    <t>and elastic.</t>
  </si>
  <si>
    <t>Place dough in well oiled plastic tub and proof for 20 minutes.</t>
  </si>
  <si>
    <t>Punch down dough to remove air bubbles and let rest 15 minutes.</t>
  </si>
  <si>
    <t>Divide dough into 2 pound sections. Shape each piece into a smooth roll</t>
  </si>
  <si>
    <t>and drop roll into cornmeal to evenly cover the bottom.</t>
  </si>
  <si>
    <t>Place lengthwise on baguette screens - 3 per pan and proof for 20 minutes.</t>
  </si>
  <si>
    <t>Keep tops moist with water sprayer.</t>
  </si>
  <si>
    <t>Before closing oven, after all racks are in, add 6 ice cubes to oven floor.</t>
  </si>
  <si>
    <t>Bake at 400° F for 11 minutes; rotate and bake additional 6 minutes.</t>
  </si>
  <si>
    <t>Olive Oil or Grapeseed Oil</t>
  </si>
  <si>
    <r>
      <rPr>
        <b/>
        <sz val="10"/>
        <color theme="1"/>
        <rFont val="Arial"/>
        <family val="2"/>
      </rPr>
      <t>GARLIC BREAD</t>
    </r>
    <r>
      <rPr>
        <sz val="10"/>
        <color theme="1"/>
        <rFont val="Arial"/>
        <family val="2"/>
      </rPr>
      <t>: cut in half horizontally, butter, and get 16 servings per</t>
    </r>
  </si>
  <si>
    <t>loaf of bread (high school and middle school).</t>
  </si>
  <si>
    <t xml:space="preserve">     Elementary Serving: in half horizontally, get 24 servings per loaf.</t>
  </si>
  <si>
    <t>100 batch = 6 - 2-pound loaves</t>
  </si>
  <si>
    <t>50 batch = 3 - 2-pound loaves</t>
  </si>
  <si>
    <t>Garlic Butter (for 18-2# loaves):</t>
  </si>
  <si>
    <t>2 1/2 lbs butter</t>
  </si>
  <si>
    <t>Garlic Bread Cost/Serving</t>
  </si>
  <si>
    <t>2 Tbsp salt</t>
  </si>
  <si>
    <t>3 Tbsp Granulated Garlic</t>
  </si>
  <si>
    <t>3 Tbsp Garlic Salt</t>
  </si>
  <si>
    <t>2 Tbsp Italian Seasoning</t>
  </si>
  <si>
    <t>Calories: 132.6</t>
  </si>
  <si>
    <t>Cholesterol: 0.5 mg</t>
  </si>
  <si>
    <t>Sodium: 157 mg</t>
  </si>
  <si>
    <t>Total Carbohydrate: 26 g</t>
  </si>
  <si>
    <t>Dietary Fiber: 3.45 g</t>
  </si>
  <si>
    <t>Vitamin A: 54 IU</t>
  </si>
  <si>
    <t>Vitamin C: 0.13 mg</t>
  </si>
  <si>
    <t>Calcium: 32.6 mg</t>
  </si>
  <si>
    <t>Vitamin D: 0.5 mcg</t>
  </si>
  <si>
    <t>Potassium: 21.8 mg</t>
  </si>
  <si>
    <t>Ash: 0.0025 g</t>
  </si>
  <si>
    <t>Water: 0.005 g</t>
  </si>
  <si>
    <t>1 Brownie</t>
  </si>
  <si>
    <t>308</t>
  </si>
  <si>
    <t>96 Small or 72 Vending Servings</t>
  </si>
  <si>
    <t>Mix salt, sugar, cocoa, eggs, and vanilla. Beat until smooth.</t>
  </si>
  <si>
    <t>Add flour and butter. Mix well.</t>
  </si>
  <si>
    <t>Spread on a buttered sheet pan and bake for 24 minutes.</t>
  </si>
  <si>
    <t>Baking Cocoa/Cocoa Powder</t>
  </si>
  <si>
    <t>Bake until the center does not jiggle.</t>
  </si>
  <si>
    <t>24 ounces</t>
  </si>
  <si>
    <t>96 Small = Cut 4x6, into quarters</t>
  </si>
  <si>
    <t>72 Vending = Cut 4x6, into thirds</t>
  </si>
  <si>
    <t>Calories: 173</t>
  </si>
  <si>
    <t>Total Fat: 8.5 g</t>
  </si>
  <si>
    <t>Sodium: 60 mg</t>
  </si>
  <si>
    <t>Total Carbohydrate: 24 g</t>
  </si>
  <si>
    <t>Vitamin A: 35.4 IU</t>
  </si>
  <si>
    <t>Calcium: 4.2 mg</t>
  </si>
  <si>
    <t>Sugars: 16.8 g</t>
  </si>
  <si>
    <t>Potassium: 170 mg</t>
  </si>
  <si>
    <t>Water: 0.08 g</t>
  </si>
  <si>
    <t>1 Cookie (1.1 oz per cookie)</t>
  </si>
  <si>
    <t>311</t>
  </si>
  <si>
    <t>105 Servings</t>
  </si>
  <si>
    <t>Line 4 sheet pans with parchment paper.</t>
  </si>
  <si>
    <t>Blend together enriched white flour, wheat flour, baking soda, baking powder, cinnamon,</t>
  </si>
  <si>
    <t>and salt. Using mixer, beat butter and sugar until fluffy. Beat in eggs and vanilla.</t>
  </si>
  <si>
    <t>Gradually beat into flour mixture. Stir in oats, dried fruit, and walnuts.</t>
  </si>
  <si>
    <t>Using a #24 scoop, drop dough onto prepared sheet pans.</t>
  </si>
  <si>
    <t>Bake about 10 minutes (13 minutes for big cookies). Cool completely.</t>
  </si>
  <si>
    <t>Butter (unsalted)</t>
  </si>
  <si>
    <t>Walnut Pieces (raw)</t>
  </si>
  <si>
    <t>Calories: 134</t>
  </si>
  <si>
    <t>Cholesterol: 18 mg</t>
  </si>
  <si>
    <t>Sodium: 40.6 mg</t>
  </si>
  <si>
    <t>Total Carbohydrate: 20.4 g</t>
  </si>
  <si>
    <t>Iron: 0.43 mg</t>
  </si>
  <si>
    <t>Vitamin A: 10.8 IU</t>
  </si>
  <si>
    <t>Calcium: 8 mg</t>
  </si>
  <si>
    <t>Sugars: 12.2 g</t>
  </si>
  <si>
    <t>Potassium: 16.2 mg</t>
  </si>
  <si>
    <t>Ash: 0.06 g</t>
  </si>
  <si>
    <t>Water: 0.0044 g</t>
  </si>
  <si>
    <t>1 Muffin (2 ounces)</t>
  </si>
  <si>
    <t>304</t>
  </si>
  <si>
    <t xml:space="preserve">Blend flour, cornmeal or corn grits, sugar, baking powder, and salt in mixer </t>
  </si>
  <si>
    <t>for 1 minute on low speed.</t>
  </si>
  <si>
    <r>
      <t xml:space="preserve">Cornmeal </t>
    </r>
    <r>
      <rPr>
        <sz val="11"/>
        <color rgb="FFFF0000"/>
        <rFont val="Arial"/>
        <family val="2"/>
      </rPr>
      <t>or</t>
    </r>
  </si>
  <si>
    <t>1 qt 3 1/2 cups</t>
  </si>
  <si>
    <t xml:space="preserve">Mix eggs, milk, oil, cheese (optional), and chili peppers (optional). Add to </t>
  </si>
  <si>
    <t>Enriched Corn Grits</t>
  </si>
  <si>
    <t>1 qt 1 1/2 cups</t>
  </si>
  <si>
    <t xml:space="preserve">dry ingredients and blend for 30 seconds on low speed. Beat until dry </t>
  </si>
  <si>
    <t xml:space="preserve">ingredients are moistened for 2-3 minutes on medium speed. DO NOT </t>
  </si>
  <si>
    <t>OVERMIX. Batter will be lumpy.</t>
  </si>
  <si>
    <t>Prep muffin pans with liners.</t>
  </si>
  <si>
    <t>Using #20 scoop (yellow handle) place one level scoop in each cup.</t>
  </si>
  <si>
    <r>
      <t>Bake at 350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for 14 minutes total (9 minutes, rotate, 5 additional minutes).</t>
    </r>
  </si>
  <si>
    <r>
      <t xml:space="preserve">Frozen Whole Eggs </t>
    </r>
    <r>
      <rPr>
        <sz val="11"/>
        <color rgb="FFFF0000"/>
        <rFont val="Arial"/>
        <family val="2"/>
      </rPr>
      <t>or</t>
    </r>
  </si>
  <si>
    <t>Instant Nonfat Dry</t>
  </si>
  <si>
    <t>Milk (reconstituted)</t>
  </si>
  <si>
    <t>1 qt 2 cups</t>
  </si>
  <si>
    <t>(shredded) Optional</t>
  </si>
  <si>
    <t>Green Chili Peppers</t>
  </si>
  <si>
    <t>3/4 cup + 3 Tbsp</t>
  </si>
  <si>
    <t>1 3/4 cups + 2 Tbsp</t>
  </si>
  <si>
    <t>(fresh, chop) Optional</t>
  </si>
  <si>
    <t>Total Fat: 5.9 g</t>
  </si>
  <si>
    <t>Saturated Fat: 1.8 g</t>
  </si>
  <si>
    <t>Cholesterol: 24 mg</t>
  </si>
  <si>
    <t>Sodium: 247 mg</t>
  </si>
  <si>
    <t>Vitamin A: 153 IU</t>
  </si>
  <si>
    <t>Calcium: 73.9 mg</t>
  </si>
  <si>
    <t>Potassium: 25.7 mg</t>
  </si>
  <si>
    <t>1 Biscuit</t>
  </si>
  <si>
    <t>303</t>
  </si>
  <si>
    <t>≈ 45 Servings</t>
  </si>
  <si>
    <t>≈ 90 Servings</t>
  </si>
  <si>
    <t>Measure buttermilk, put in freezer.</t>
  </si>
  <si>
    <t>Chop butter and put in fridge.</t>
  </si>
  <si>
    <t>Combine dry ingredients.</t>
  </si>
  <si>
    <t>Cut in butter with paddle.</t>
  </si>
  <si>
    <t>Add milk to incorporate all dry ingredients with dough hook.</t>
  </si>
  <si>
    <t>Roll to 1/2 inch thick.</t>
  </si>
  <si>
    <t>Baking Soda (if</t>
  </si>
  <si>
    <t>Cut with cutter 2-inch.</t>
  </si>
  <si>
    <t>using buttermilk)</t>
  </si>
  <si>
    <t>Put on sheet pan (5 x 3).</t>
  </si>
  <si>
    <t>Egg wash on top.</t>
  </si>
  <si>
    <t>Bake at 425° F for 10 minutes.</t>
  </si>
  <si>
    <t>Butter (fridge cold)</t>
  </si>
  <si>
    <t>Buttermilk (half frozen)</t>
  </si>
  <si>
    <t>Calories: 164</t>
  </si>
  <si>
    <t>Saturated Fat: 5.4 g</t>
  </si>
  <si>
    <t>Sodium: 307 mg</t>
  </si>
  <si>
    <t>Total Carbohydrate: 18 g</t>
  </si>
  <si>
    <t>Vitamin A: 35.6 IU</t>
  </si>
  <si>
    <t>Protein: 3.2 g</t>
  </si>
  <si>
    <t>Calcium: 42 mg</t>
  </si>
  <si>
    <t>Sugars: 0.8 g</t>
  </si>
  <si>
    <t>Potassium: 60 mg</t>
  </si>
  <si>
    <t>Pumpkin Spice Muffins (USDA)</t>
  </si>
  <si>
    <t>313</t>
  </si>
  <si>
    <t>16 Servings</t>
  </si>
  <si>
    <t xml:space="preserve">Place flour, baking powder, baking soda, salt, cinnamon, nutmeg, and </t>
  </si>
  <si>
    <t>ginger in stand mixer, use paddle attachment to combine.</t>
  </si>
  <si>
    <t>Combine sugar, oil, eggs and vanilla in a large bowl.</t>
  </si>
  <si>
    <t>Add liquids to dry ingredients and mix for 3-5 minutes.</t>
  </si>
  <si>
    <t>Mix in pumpkin and stir well. Batter may still be lumpy, do not overmix.</t>
  </si>
  <si>
    <t>Prepare muffin pans with liners.</t>
  </si>
  <si>
    <t>Use #20 (yellow handle) scoop to heap mix into muffin cups.</t>
  </si>
  <si>
    <t>Top each muffin with 1 tsp streusel, optional (See Streusel recipe below)</t>
  </si>
  <si>
    <r>
      <t>Bake at 350</t>
    </r>
    <r>
      <rPr>
        <sz val="10"/>
        <color theme="1"/>
        <rFont val="Calibri"/>
        <family val="2"/>
      </rPr>
      <t>°</t>
    </r>
    <r>
      <rPr>
        <sz val="10"/>
        <color theme="1"/>
        <rFont val="Arial"/>
        <family val="2"/>
      </rPr>
      <t xml:space="preserve"> F for 18-20 minutes with no rotation.</t>
    </r>
  </si>
  <si>
    <t>* When doubling the 32 serving recipe, it yields 76 muffins with a heaping</t>
  </si>
  <si>
    <t>scoop with yellow (#20).</t>
  </si>
  <si>
    <r>
      <t>Streusel</t>
    </r>
    <r>
      <rPr>
        <sz val="10"/>
        <color theme="1"/>
        <rFont val="Arial"/>
        <family val="2"/>
      </rPr>
      <t xml:space="preserve"> (makes a lot; could probably quarter the recipe)</t>
    </r>
  </si>
  <si>
    <t>2/3 c flour</t>
  </si>
  <si>
    <t>3 c oats</t>
  </si>
  <si>
    <t>Ground Ginger</t>
  </si>
  <si>
    <t>12 oz brown sugar</t>
  </si>
  <si>
    <t>2 tsp cinnamon</t>
  </si>
  <si>
    <t>1 2/3 cup</t>
  </si>
  <si>
    <t>3 1/3 cup</t>
  </si>
  <si>
    <t>1 tsp ground ginger</t>
  </si>
  <si>
    <t>2 tsp nutmeg</t>
  </si>
  <si>
    <t>Grapeseed Oil</t>
  </si>
  <si>
    <t>1 1/2 tsp salt</t>
  </si>
  <si>
    <t>1/2 lb butter; cut in</t>
  </si>
  <si>
    <t xml:space="preserve">Pumpkin, pureed </t>
  </si>
  <si>
    <t>1 lb 4 oz</t>
  </si>
  <si>
    <t>2 lbs 8 oz</t>
  </si>
  <si>
    <t>Whole Oats</t>
  </si>
  <si>
    <t>Calories: 297</t>
  </si>
  <si>
    <t>Total Fat: 11.7 g</t>
  </si>
  <si>
    <t>Saturated Fat: 1.2 g</t>
  </si>
  <si>
    <t>Cholesterol: 31.5 mg</t>
  </si>
  <si>
    <t>Sodium: 273 mg</t>
  </si>
  <si>
    <t>Total Carbohydrate: 46 g</t>
  </si>
  <si>
    <t>Vitamin A: 4171.8 IU</t>
  </si>
  <si>
    <t>Sugars: 24 g</t>
  </si>
  <si>
    <t>Potassium: 22.7 mg</t>
  </si>
  <si>
    <t>Water: 0.03 g</t>
  </si>
  <si>
    <t>1 Cookie</t>
  </si>
  <si>
    <t>305</t>
  </si>
  <si>
    <t>Heat oven to 350° F and grease cookie sheets.</t>
  </si>
  <si>
    <t>Beat together peanut butter and sugar in a large bowl until smooth. Add beaten egg and baking</t>
  </si>
  <si>
    <t>soda to peanut butter mixture and beat until well combined. ALWAYS MIX BY HAND.</t>
  </si>
  <si>
    <t>Roll 1 teaspoon of dough into a ball and place on cookie sheet.</t>
  </si>
  <si>
    <t>Egg (large, beaten)</t>
  </si>
  <si>
    <t>Place dough balls one inch apart on cookie sheet and flatten with tines of fork making a cross</t>
  </si>
  <si>
    <t>pattern.</t>
  </si>
  <si>
    <t>Bake small cookies for 4 minutes, rotate pan and bake 4 more minutes.</t>
  </si>
  <si>
    <t>Bake vending size cookies for 6 minutes, rotate pan and bake 5 more minutes.</t>
  </si>
  <si>
    <t>Cool cookies on baking sheet about 2 minutes and then transfer with spatula to rack to cool.</t>
  </si>
  <si>
    <t>May be kept in air tight container at room temperature for 5 days.</t>
  </si>
  <si>
    <t>For POS size (small) use Skippy Peanut Butter.</t>
  </si>
  <si>
    <t>For vending size, use Members Mark No-Stir Peanut Butter.</t>
  </si>
  <si>
    <t>Per single batch of small: 13 cookies at 1.1 ounce</t>
  </si>
  <si>
    <t>Per single batch of vending: 6 cookies at 2.2 ounce</t>
  </si>
  <si>
    <t>Calories: 91</t>
  </si>
  <si>
    <t>Cholesterol: 9.3 mg</t>
  </si>
  <si>
    <t>Sodium: 94.8 mg</t>
  </si>
  <si>
    <t>Total Carbohydrate: 8.4 g</t>
  </si>
  <si>
    <t>Vitamin A: 13.5 IU</t>
  </si>
  <si>
    <t>Protein: 2.65 g</t>
  </si>
  <si>
    <t>Calcium: 24.2 mg</t>
  </si>
  <si>
    <t>Vitamin D: 0.05 mcg</t>
  </si>
  <si>
    <t>Potassium: 38 mg</t>
  </si>
  <si>
    <t>Water: 2 g</t>
  </si>
  <si>
    <t>Trans Fat: 0.001 g</t>
  </si>
  <si>
    <t>315</t>
  </si>
  <si>
    <t>62 Servings (3/8 cookie)</t>
  </si>
  <si>
    <t>183 Servings (3/8 cookie)</t>
  </si>
  <si>
    <t>In a medium bowl, cream together the butter, sugar, and brown</t>
  </si>
  <si>
    <t>sugar until smooth.</t>
  </si>
  <si>
    <t>Blend in egg and almond extract.</t>
  </si>
  <si>
    <t>Combine the flour, baking soda, and salt. Stir into the creamed mixture.</t>
  </si>
  <si>
    <t>Cover dough and refrigerate for at least one hour, or until easy to handle.</t>
  </si>
  <si>
    <t>Preheat the oven to 300° F. Roll dough into 1 inch balls, roll the balls in the</t>
  </si>
  <si>
    <t>remaining sugar and place them 2 inches apart on ungreased cookie sheets.</t>
  </si>
  <si>
    <t>Bake for 8 minutes in the preheated oven, or until golden brown.</t>
  </si>
  <si>
    <t>Almond Extract</t>
  </si>
  <si>
    <t>While hot from the oven, immediately press a chocolate kiss into the center</t>
  </si>
  <si>
    <t>of each one. Remove from cookie sheets to cool on wire racks.</t>
  </si>
  <si>
    <t>In a small bowl, mix together the confectioners' sugar, milk, raspberry jam,</t>
  </si>
  <si>
    <t>and almond extract until smooth. Drizzle over cooled cookies.</t>
  </si>
  <si>
    <t>Chocolate Candy Kiss</t>
  </si>
  <si>
    <t>183 each</t>
  </si>
  <si>
    <t>(unwrapped)</t>
  </si>
  <si>
    <t>Confectioners' Sugar</t>
  </si>
  <si>
    <t>Raspberry Jam</t>
  </si>
  <si>
    <t>3 Tbsp + 2 1/2 tsp</t>
  </si>
  <si>
    <t>Sugar (for décor)</t>
  </si>
  <si>
    <t>Calories: 76</t>
  </si>
  <si>
    <t>Total Fat: 2.9 g</t>
  </si>
  <si>
    <t>Cholesterol: 8.66 mg</t>
  </si>
  <si>
    <t>Sodium: 31 mg</t>
  </si>
  <si>
    <t>Total Carbohydrate: 12.3 g</t>
  </si>
  <si>
    <t>Vitamin A: 6 IU</t>
  </si>
  <si>
    <t>Calcium: 18.5 mg</t>
  </si>
  <si>
    <t>Sugars: 9 g</t>
  </si>
  <si>
    <t>Potassium: 27 mg</t>
  </si>
  <si>
    <t>Water: 1.4 g</t>
  </si>
  <si>
    <t>Added Sugars: 0.0036 g</t>
  </si>
  <si>
    <t>1 Piece (2" x 3 3/4")</t>
  </si>
  <si>
    <t>300</t>
  </si>
  <si>
    <t>2 lb 12 oz</t>
  </si>
  <si>
    <t>Prepare topping in batches. For each pan combine 1 1/3 cups 1 Tbsp 2 tsp</t>
  </si>
  <si>
    <t>flour, oats, sugar, 2 1/4 tsp cinnamon, nutmeg, and salt in a large bowl.</t>
  </si>
  <si>
    <t>Rolled Oats (dry)</t>
  </si>
  <si>
    <t>1 lb 2 oz</t>
  </si>
  <si>
    <t>Stir well.</t>
  </si>
  <si>
    <t>Set remaining flour and cinnamon aside for filling.</t>
  </si>
  <si>
    <t>2 lb 4 oz</t>
  </si>
  <si>
    <t>Add 1 cup butter to each batch of topping mixture. Using a fork or pastry</t>
  </si>
  <si>
    <t>blender, cut butter into flour until mixture has a crumbly consistency.</t>
  </si>
  <si>
    <t>Set aside.</t>
  </si>
  <si>
    <t>Filling: Combine remaining flour, remaining cinnamon, water, and sugar in a</t>
  </si>
  <si>
    <t>large bowl. Stir well.</t>
  </si>
  <si>
    <t>Add apples and lemon juice. Stir well.</t>
  </si>
  <si>
    <t>Pour about 6 pounds filling into a steam table pan (12"x20"x2 1/3").</t>
  </si>
  <si>
    <t>For 50 servings, use 2 pans.</t>
  </si>
  <si>
    <t>2 lb</t>
  </si>
  <si>
    <t>For 100 servings, use 4 pans.</t>
  </si>
  <si>
    <t>Sprinkle about 1 lb 7 oz topping over each pan.</t>
  </si>
  <si>
    <t>Conventional Oven: 375° F for 55-60 minutes.</t>
  </si>
  <si>
    <t>Convection Oven: 350° F for 45-50 minutes.</t>
  </si>
  <si>
    <t>Portion: Cut each pan 5x5 (25 pieces per pan).</t>
  </si>
  <si>
    <t>Serve 1 piece (about 2" x 3 3/4").</t>
  </si>
  <si>
    <t>Apples (fresh or frozen,</t>
  </si>
  <si>
    <t>9 lb 4 oz</t>
  </si>
  <si>
    <t>18 lb 8 oz</t>
  </si>
  <si>
    <t>Variation: Replace apples with cherries.</t>
  </si>
  <si>
    <t>Lemon Juice (concentrate,</t>
  </si>
  <si>
    <t>reconstituted)</t>
  </si>
  <si>
    <t>Variation: Cherries (frozen,</t>
  </si>
  <si>
    <t>10 lb</t>
  </si>
  <si>
    <t>20 lb</t>
  </si>
  <si>
    <t>thawed, drained)</t>
  </si>
  <si>
    <t>Calories: 203</t>
  </si>
  <si>
    <t>Sodium: 161 mg</t>
  </si>
  <si>
    <t>Carbohydrate: 39 g</t>
  </si>
  <si>
    <t>Vitamin D: 39 IU</t>
  </si>
  <si>
    <t>Sugars: 23 g</t>
  </si>
  <si>
    <t>Potassium: 162 mg</t>
  </si>
  <si>
    <t>301</t>
  </si>
  <si>
    <t>Stir in the flour, baking powder, and salt.</t>
  </si>
  <si>
    <t>Cover and chill dough for at least one hour (or overnight).</t>
  </si>
  <si>
    <t>Roll out dough on floured surface 1/4 to 1/2 inch thick.</t>
  </si>
  <si>
    <t>Cut into shapes with any cookie cutter.</t>
  </si>
  <si>
    <t>Bake 6 to 8 minutes in preheated oven. Cool completely.</t>
  </si>
  <si>
    <t>Calories: 106.7</t>
  </si>
  <si>
    <t>Sodium: 63 mg</t>
  </si>
  <si>
    <t>Vitamin A: 21.67 IU</t>
  </si>
  <si>
    <t>Calcium: 2.25 mg</t>
  </si>
  <si>
    <t>Sugars: 6.7 g</t>
  </si>
  <si>
    <t>Vitamin D: 0.08 mcg</t>
  </si>
  <si>
    <t>Potassium: 17 mg</t>
  </si>
  <si>
    <t>Water: 3.1 g</t>
  </si>
  <si>
    <t>Added Sugars: 0.0148 g</t>
  </si>
  <si>
    <t>Sweet</t>
  </si>
  <si>
    <t>302</t>
  </si>
  <si>
    <r>
      <rPr>
        <b/>
        <u/>
        <sz val="11"/>
        <color theme="1"/>
        <rFont val="Calibri"/>
        <family val="2"/>
      </rPr>
      <t>≈</t>
    </r>
    <r>
      <rPr>
        <b/>
        <u/>
        <sz val="11.35"/>
        <color theme="1"/>
        <rFont val="Arial"/>
        <family val="2"/>
      </rPr>
      <t xml:space="preserve"> 26</t>
    </r>
    <r>
      <rPr>
        <b/>
        <u/>
        <sz val="11"/>
        <color theme="1"/>
        <rFont val="Arial"/>
        <family val="2"/>
      </rPr>
      <t xml:space="preserve"> Servings</t>
    </r>
  </si>
  <si>
    <r>
      <rPr>
        <b/>
        <u/>
        <sz val="11"/>
        <color theme="1"/>
        <rFont val="Calibri"/>
        <family val="2"/>
      </rPr>
      <t>≈</t>
    </r>
    <r>
      <rPr>
        <b/>
        <u/>
        <sz val="11.35"/>
        <color theme="1"/>
        <rFont val="Arial"/>
        <family val="2"/>
      </rPr>
      <t xml:space="preserve"> 52</t>
    </r>
    <r>
      <rPr>
        <b/>
        <u/>
        <sz val="11"/>
        <color theme="1"/>
        <rFont val="Arial"/>
        <family val="2"/>
      </rPr>
      <t xml:space="preserve"> Servings</t>
    </r>
  </si>
  <si>
    <t>Butter (melted, beaten)</t>
  </si>
  <si>
    <t>Cream all ingredients. Spread over desired product (i.e. cinnamon rolls,</t>
  </si>
  <si>
    <t>yeast rolls, etc.)</t>
  </si>
  <si>
    <t>Powdered Sugar</t>
  </si>
  <si>
    <t>Calories: 116.3</t>
  </si>
  <si>
    <t>Saturated Fat: 2.5 g</t>
  </si>
  <si>
    <t>Cholesterol: 10.5 mg</t>
  </si>
  <si>
    <t>Sodium: 29.6 mg</t>
  </si>
  <si>
    <t>Carbohydrate: 20.6 g</t>
  </si>
  <si>
    <t>Vitamin A: 2.4%</t>
  </si>
  <si>
    <t>Sugars: 20.2 g</t>
  </si>
  <si>
    <t>Potassium: 6.2 mg</t>
  </si>
  <si>
    <t>Calcium: 0.5%</t>
  </si>
  <si>
    <t>6 ounces</t>
  </si>
  <si>
    <t>306</t>
  </si>
  <si>
    <r>
      <rPr>
        <b/>
        <u/>
        <sz val="11"/>
        <color theme="1"/>
        <rFont val="Calibri"/>
        <family val="2"/>
      </rPr>
      <t>≈</t>
    </r>
    <r>
      <rPr>
        <b/>
        <u/>
        <sz val="11.35"/>
        <color theme="1"/>
        <rFont val="Arial"/>
        <family val="2"/>
      </rPr>
      <t xml:space="preserve"> 42</t>
    </r>
    <r>
      <rPr>
        <b/>
        <u/>
        <sz val="11"/>
        <color theme="1"/>
        <rFont val="Arial"/>
        <family val="2"/>
      </rPr>
      <t xml:space="preserve"> Servings</t>
    </r>
  </si>
  <si>
    <r>
      <rPr>
        <b/>
        <u/>
        <sz val="11"/>
        <color theme="1"/>
        <rFont val="Calibri"/>
        <family val="2"/>
      </rPr>
      <t>≈</t>
    </r>
    <r>
      <rPr>
        <b/>
        <u/>
        <sz val="11.35"/>
        <color theme="1"/>
        <rFont val="Arial"/>
        <family val="2"/>
      </rPr>
      <t xml:space="preserve"> 84</t>
    </r>
    <r>
      <rPr>
        <b/>
        <u/>
        <sz val="11"/>
        <color theme="1"/>
        <rFont val="Arial"/>
        <family val="2"/>
      </rPr>
      <t xml:space="preserve"> Servings</t>
    </r>
  </si>
  <si>
    <t>Heat milk. Whisk remaining ingredients into warm milk. Serve warm.</t>
  </si>
  <si>
    <t>Cocoa Powder</t>
  </si>
  <si>
    <t>Dairy M/MA</t>
  </si>
  <si>
    <t>Calories: 103.8</t>
  </si>
  <si>
    <t>Total Fat: 2.2 g</t>
  </si>
  <si>
    <t>Saturated Fat: 1.4 g</t>
  </si>
  <si>
    <t>Cholesterol: 8.9 mg</t>
  </si>
  <si>
    <t>Sodium: 162.2 mg</t>
  </si>
  <si>
    <t>Carbohydrate: 16.7 g</t>
  </si>
  <si>
    <t>Dietary Fiber: 0.6 g</t>
  </si>
  <si>
    <t>Iron: 1.6%</t>
  </si>
  <si>
    <t>Vitamin A: 6.5%</t>
  </si>
  <si>
    <t>Sugars: 16.1 g</t>
  </si>
  <si>
    <t>Potassium: 260.6 mg</t>
  </si>
  <si>
    <t>Calcium: 18.8%</t>
  </si>
  <si>
    <t>Baked Good</t>
  </si>
  <si>
    <t>309</t>
  </si>
  <si>
    <t>Whole Wheat Muffin Mix</t>
  </si>
  <si>
    <t>48 ounces</t>
  </si>
  <si>
    <t>96 ounces</t>
  </si>
  <si>
    <t>Preheat oven.</t>
  </si>
  <si>
    <t>(prepared)</t>
  </si>
  <si>
    <t>Prepare muffin batter according to manufacturer's recommendations.</t>
  </si>
  <si>
    <t>In a large bowl, combine shredded cheese, onion powder, garlic powder,</t>
  </si>
  <si>
    <t>and prepared muffin batter.</t>
  </si>
  <si>
    <t>Spray a 4 ounce muffin pan with pan release spray.</t>
  </si>
  <si>
    <t>Using a Number 16 disher, place 2 ounces of muffin batter in each tin.</t>
  </si>
  <si>
    <t>Press down center of muffin batter, making a small well in the center.</t>
  </si>
  <si>
    <t>Place 1 Tbsp (1/2 ounce) of liquid egg in the well of the batter in each</t>
  </si>
  <si>
    <r>
      <t xml:space="preserve">Liquid Eggs </t>
    </r>
    <r>
      <rPr>
        <sz val="11"/>
        <color rgb="FFFF0000"/>
        <rFont val="Arial"/>
        <family val="2"/>
      </rPr>
      <t>or</t>
    </r>
  </si>
  <si>
    <t>muffin tin.</t>
  </si>
  <si>
    <t>Bake at 375° F for 15-18 minutes in a conventional oven (or at 350° F for</t>
  </si>
  <si>
    <t>12-15 minutes in a convection oven) or until golden brown.</t>
  </si>
  <si>
    <t>CCP: Minimum internal temperature should reach 165° F.</t>
  </si>
  <si>
    <t>CCP: Hold and serve at 135° F or above. Alternatively, chill and store</t>
  </si>
  <si>
    <t>frozen for up to 30 days.</t>
  </si>
  <si>
    <t>Total Fat: 9.61 g</t>
  </si>
  <si>
    <t>Saturated Fat: 4.13 g</t>
  </si>
  <si>
    <t>Cholesterol: 81 mg</t>
  </si>
  <si>
    <t>Sodium: 266 mg</t>
  </si>
  <si>
    <t>Carbohydrate: 21.79 g</t>
  </si>
  <si>
    <t>Dietary Fiber: 0.8 g</t>
  </si>
  <si>
    <t>Iron: 0.55 mg</t>
  </si>
  <si>
    <t>Vitamin A: 235.64 IU</t>
  </si>
  <si>
    <t>Vitamin C: 0.22 mg</t>
  </si>
  <si>
    <t>Protein: 6.17 g</t>
  </si>
  <si>
    <t>Calcium: 135.94 mg</t>
  </si>
  <si>
    <t>312</t>
  </si>
  <si>
    <t>Preheat oven to 450° F.</t>
  </si>
  <si>
    <t>In a large bowl, combine the flour, baking powder, baking soda, and salt.</t>
  </si>
  <si>
    <t>Cut the butter in small pieces, and, using your fingertips, rub the butter</t>
  </si>
  <si>
    <t>into the flour mixture until there are no lumps.</t>
  </si>
  <si>
    <t>1/4 cup + 1/2 tsp</t>
  </si>
  <si>
    <t>In another bowl, combine the mashed potatoes, buttermilk, and chives.</t>
  </si>
  <si>
    <t>Pour wet ingredients into the dry ingredients and mix until just combined.</t>
  </si>
  <si>
    <t xml:space="preserve">Turn the dough out onto a floured surface and pat the dough out until it is </t>
  </si>
  <si>
    <t>1/2" thick.</t>
  </si>
  <si>
    <t>Cut the biscuits with a round cookie cutter or a glass dipped in flour and</t>
  </si>
  <si>
    <t xml:space="preserve">arrange on a cookie sheet. Gather up scraps and repeat until all the </t>
  </si>
  <si>
    <t>Butter (unsalted, chilled)</t>
  </si>
  <si>
    <t>dough is used.</t>
  </si>
  <si>
    <t>Bake 10 to 15 minutes or until golden brown.</t>
  </si>
  <si>
    <t>Potatoes (cooked, mashed)</t>
  </si>
  <si>
    <t>Buttermilk</t>
  </si>
  <si>
    <t>2 cups + 5 1/2 Tbsp</t>
  </si>
  <si>
    <t>4 1/2 cups + 3 Tbsp</t>
  </si>
  <si>
    <t>Chives (chopped)</t>
  </si>
  <si>
    <t>1 1/2 cups + 1 Tbsp</t>
  </si>
  <si>
    <t>Calories: 99</t>
  </si>
  <si>
    <t>Cholesterol: 8 mg</t>
  </si>
  <si>
    <t>Sodium: 255 mg</t>
  </si>
  <si>
    <t>Iron: 9%</t>
  </si>
  <si>
    <t>Vitamin A: 18%</t>
  </si>
  <si>
    <t>Sugars: 15 g</t>
  </si>
  <si>
    <t>Calcium: 7%</t>
  </si>
  <si>
    <t>316</t>
  </si>
  <si>
    <t>Apples (peeled, sliced)</t>
  </si>
  <si>
    <t>20 each</t>
  </si>
  <si>
    <t>Melt butter in pan and then add the rest of the ingredients.</t>
  </si>
  <si>
    <t>Stir until apples are slightly soft and caramel is formed; about 15 minutes</t>
  </si>
  <si>
    <t>1/4 lb</t>
  </si>
  <si>
    <t>on medium heat.</t>
  </si>
  <si>
    <t>Calories: 88</t>
  </si>
  <si>
    <t>Total Fat: 1.11 g</t>
  </si>
  <si>
    <t>Saturated Fat: 0.23 g</t>
  </si>
  <si>
    <t>Sodium: 13 mg</t>
  </si>
  <si>
    <t>Carbohydrate: 20.68 g</t>
  </si>
  <si>
    <t>Iron: 0.26 mg</t>
  </si>
  <si>
    <t>Vitamin A: 57 IU</t>
  </si>
  <si>
    <t>Protein: 0.21 g</t>
  </si>
  <si>
    <t>Vitamin C: 6.8 mg</t>
  </si>
  <si>
    <t>318</t>
  </si>
  <si>
    <t>Gelatin</t>
  </si>
  <si>
    <t>Soften gelatin in cold water. Set aside.</t>
  </si>
  <si>
    <t>Combine dry milk and water. Whip until free of lumps. Heat to scalding.</t>
  </si>
  <si>
    <t>Water (cold)</t>
  </si>
  <si>
    <t>Remove from heat.</t>
  </si>
  <si>
    <t>Add softened gelatin and stir until dissolved. Cover. Refrigerate overnight.</t>
  </si>
  <si>
    <t>(Chilling overnight produces a thicker mixture.)</t>
  </si>
  <si>
    <t>Whip chilled mixture for 10 minutes at high speed. Add sugar, salt, and</t>
  </si>
  <si>
    <t xml:space="preserve">vanilla. Mix for 5 minutes on high speed until very stiff. Use immediately or </t>
  </si>
  <si>
    <t>refrigerate until served.</t>
  </si>
  <si>
    <t xml:space="preserve">Use as topping for pies, cakes, puddings, custards, fruit cups, or </t>
  </si>
  <si>
    <t>gelatin desserts.</t>
  </si>
  <si>
    <t>Calories: 19</t>
  </si>
  <si>
    <t>Total Fat: 0.02 g</t>
  </si>
  <si>
    <t>Sodium: 36 mg</t>
  </si>
  <si>
    <t>Carbohydrate: 3.9 g</t>
  </si>
  <si>
    <t>Iron: 0.01 mg</t>
  </si>
  <si>
    <t>Protein: 0.81 g</t>
  </si>
  <si>
    <t>Calcium: 28 mg</t>
  </si>
  <si>
    <t>Whole-Grain Dinner Rolls (USDA)</t>
  </si>
  <si>
    <t>319</t>
  </si>
  <si>
    <t>Dissolve dry yeast in warm water. Set aside.</t>
  </si>
  <si>
    <t>Pour flour, sugar, and salt in a commercial mixer (batch as needed).</t>
  </si>
  <si>
    <t>Using a dough hook attachment, mix on medium-low speed. DO NOT</t>
  </si>
  <si>
    <t>OVERMIX. For 50 servings, mix for 1 minute. For 100 servings, mix for</t>
  </si>
  <si>
    <t>2 minutes.</t>
  </si>
  <si>
    <t>14 oz</t>
  </si>
  <si>
    <t>1 lb 12 oz</t>
  </si>
  <si>
    <t>Add eggs and oil.</t>
  </si>
  <si>
    <t>Slowly add 1 1/2 cups (about 12 oz) yeast water. Using a dough hook</t>
  </si>
  <si>
    <t>attachment, mix on medium-low speed until flour is completely blended.</t>
  </si>
  <si>
    <t>DO NOT OVERMIX. Recommended to cook in batches of 25. For 50</t>
  </si>
  <si>
    <t>servings, mix for 3 minutes. For 100 servings, mix for 6 minutes.</t>
  </si>
  <si>
    <t>Place dough on a steam table pan (12"x20"x2 1/2") heavily coated with</t>
  </si>
  <si>
    <t>pan release spray. Cover each pan with a towel. Place in a warm area</t>
  </si>
  <si>
    <t>for 1 hour and 30 minutes to allow dough to rise. For 50 servings, place</t>
  </si>
  <si>
    <t>2 qt (about 4 lb 10 oz) dough on 1 pan. For 100 servings, use 2 pans.</t>
  </si>
  <si>
    <t>Place 2 qt (about 4 lb 10 oz) dough on each pan.</t>
  </si>
  <si>
    <t>Punch dough to remove air bubbles. Cover each pan with a towel. Place</t>
  </si>
  <si>
    <t>in a warm area for 1 hour and 30 minutes to allow dough to rise for a</t>
  </si>
  <si>
    <t>second time.</t>
  </si>
  <si>
    <t>Heavily coat a muffin pan (20 1/2"x14") with pan release spray. Using a</t>
  </si>
  <si>
    <t>No. 30 scoop, portion 2 Tbsp (about 1 oz) rolls into each muffin cup.</t>
  </si>
  <si>
    <t>For 50 servings, use 3 muffin pans. For 100 servings, use 5 muffin pans.</t>
  </si>
  <si>
    <t>Cover each pan with a towel. Place in a warm area for at least 1 hour to</t>
  </si>
  <si>
    <t>allow dough to rise for a third time.</t>
  </si>
  <si>
    <t>Bake until golden brown:</t>
  </si>
  <si>
    <t>Conventional Oven: 350° F for 15 minutes</t>
  </si>
  <si>
    <t>Convection Oven: 325° F for 12 minutes</t>
  </si>
  <si>
    <t>Calories: 85</t>
  </si>
  <si>
    <t>Sodium: 98 mg</t>
  </si>
  <si>
    <t>Carbohydrate: 17 g</t>
  </si>
  <si>
    <t>Vitamin D: 2 IU</t>
  </si>
  <si>
    <t>Protein: 3 g</t>
  </si>
  <si>
    <t>Potassium: 53 mg</t>
  </si>
  <si>
    <t>Calcium: 4 mg</t>
  </si>
  <si>
    <t>1 Pastry</t>
  </si>
  <si>
    <t>310</t>
  </si>
  <si>
    <t>Sift flour with salt into a large bowl and blend in butter with fingertips or</t>
  </si>
  <si>
    <t>a pastry blender until mixture resembles coarse meal with some (roughly</t>
  </si>
  <si>
    <t>pea-size) butter lumps.</t>
  </si>
  <si>
    <t>Beat together eggs, water, and vinegar in a small bowl with a fork.</t>
  </si>
  <si>
    <t>Butter (cold, unsalted, cut into</t>
  </si>
  <si>
    <t>Add to flour mixture, stirring with fork until just incorporated. (Mixture will</t>
  </si>
  <si>
    <t>1/2-inch cubes)</t>
  </si>
  <si>
    <t>look shaggy.)</t>
  </si>
  <si>
    <t>Egg (large)</t>
  </si>
  <si>
    <t>Turn out mixture onto a lightly floured surface and gather together,</t>
  </si>
  <si>
    <t>then knead gently with heel of hand once or twice, just enough to</t>
  </si>
  <si>
    <t>Ice Water</t>
  </si>
  <si>
    <t>bring dough together.</t>
  </si>
  <si>
    <t>Form dough into a flat rectangle and chill, wrapped in plastic wrap, at</t>
  </si>
  <si>
    <t>Distilled White Vinegar</t>
  </si>
  <si>
    <t>least 1 hour.</t>
  </si>
  <si>
    <t>Fill with desired filling and bake.</t>
  </si>
  <si>
    <t>*NOTE: Made 6 batches of 48 servings plus 1 "baby batch" for</t>
  </si>
  <si>
    <t>Diversity Week 2019.</t>
  </si>
  <si>
    <t>Total Fat: 12 g</t>
  </si>
  <si>
    <t>Saturated Fat: 8 g</t>
  </si>
  <si>
    <t>Cholesterol: 54 mg</t>
  </si>
  <si>
    <t>Vitamin D:</t>
  </si>
  <si>
    <t>Sugar: 0.1 g</t>
  </si>
  <si>
    <t>1-2 oz Flatbread</t>
  </si>
  <si>
    <t>317</t>
  </si>
  <si>
    <t>45 Servings</t>
  </si>
  <si>
    <t>90 Servings</t>
  </si>
  <si>
    <t>Plain Yogurt (NOT GREEK)</t>
  </si>
  <si>
    <t>2 qts</t>
  </si>
  <si>
    <t>Combine all ingredients in mixer.</t>
  </si>
  <si>
    <t>Weigh out 2 oz balls. Roll out very thin on a super floured surface. Place</t>
  </si>
  <si>
    <t>on sprayed pans (3x4). Brush very lightly with olive oil.</t>
  </si>
  <si>
    <r>
      <t>Bake at 350</t>
    </r>
    <r>
      <rPr>
        <sz val="10"/>
        <color theme="1"/>
        <rFont val="Calibri"/>
        <family val="2"/>
      </rPr>
      <t>°</t>
    </r>
    <r>
      <rPr>
        <sz val="10.3"/>
        <color theme="1"/>
        <rFont val="Arial"/>
        <family val="2"/>
      </rPr>
      <t xml:space="preserve"> F for 8-9 minutes, rotating halfway through.</t>
    </r>
  </si>
  <si>
    <t>6 Tbsp + 4 tsp</t>
  </si>
  <si>
    <t>Calories: 165</t>
  </si>
  <si>
    <t>Sodium: 220 mg</t>
  </si>
  <si>
    <t>Calcium: 22 mg</t>
  </si>
  <si>
    <t>Rice Treats (Siena Van Meter)</t>
  </si>
  <si>
    <t>1 Treat</t>
  </si>
  <si>
    <t>35 Servings (Approx.)</t>
  </si>
  <si>
    <t>3 ounces</t>
  </si>
  <si>
    <t>Melt butter and marshmallows in sauce pan on low heat.</t>
  </si>
  <si>
    <t>In biggest mixing bowl, put rice cereal.  When butter and marshmallows are</t>
  </si>
  <si>
    <t>Marshmallows</t>
  </si>
  <si>
    <t>melted, add to rice cereal.  Mix together.  Quickly scoop mounds using</t>
  </si>
  <si>
    <t>#16 scoop (loose and heaping).</t>
  </si>
  <si>
    <t>Rice Cereal</t>
  </si>
  <si>
    <t>Have another person compact the mounds into round balls.</t>
  </si>
  <si>
    <t>Saran Wrap when firm and cool.</t>
  </si>
  <si>
    <t>Total Fat: 1.9 g</t>
  </si>
  <si>
    <t>Cholesterol: 5.2 mg</t>
  </si>
  <si>
    <t>Sodium: 58.6 mg</t>
  </si>
  <si>
    <t>Total Carbohydrate: 19.4 g</t>
  </si>
  <si>
    <t>Iron: 1.85 mg</t>
  </si>
  <si>
    <t>Vitamin A: 428.6 IU</t>
  </si>
  <si>
    <t>Vitamin C: 2 mg</t>
  </si>
  <si>
    <t>Potassium: 6.85 mg</t>
  </si>
  <si>
    <t>Water: 8.6 g</t>
  </si>
  <si>
    <t>1 Muffin Cup</t>
  </si>
  <si>
    <t>40 Servings (Approx.)</t>
  </si>
  <si>
    <t>Banana (ripe, mashed)</t>
  </si>
  <si>
    <t>Preheat oven to 350* F. Line muffin pan with muffin liners and spray with nonstick cooking spray</t>
  </si>
  <si>
    <t>to prevent oatmeal cups from sticking.</t>
  </si>
  <si>
    <t>In a bowl, mix together the mashed bananas, peanut butter, eggs, honey, milk, and vanilla</t>
  </si>
  <si>
    <t>until smooth and well combined.</t>
  </si>
  <si>
    <t xml:space="preserve">Next stir in dry ingredients: oats, baking powder, cinnamon, salt; stir well to combine. Fold in </t>
  </si>
  <si>
    <t>chocolate chips.</t>
  </si>
  <si>
    <t>Evenly distribute oatmeal batter between muffin liners.</t>
  </si>
  <si>
    <t>Bake for 20-25 minutes.</t>
  </si>
  <si>
    <t>1 lb 10 oz (8 cups)</t>
  </si>
  <si>
    <t>Dark Chocolate Chips (mini) or</t>
  </si>
  <si>
    <t>Carob Chips</t>
  </si>
  <si>
    <t>Walnuts (chopped) optional</t>
  </si>
  <si>
    <t>w/o nuts</t>
  </si>
  <si>
    <t>w/nuts</t>
  </si>
  <si>
    <t>Calories: 282</t>
  </si>
  <si>
    <t>Total Fat: 11.8 g</t>
  </si>
  <si>
    <t>Sodium: 190 mg</t>
  </si>
  <si>
    <t>Dietary Fiber: 4.7 g</t>
  </si>
  <si>
    <t>Vitamin A: 142.6 IU</t>
  </si>
  <si>
    <t>Protein: 7.6 g</t>
  </si>
  <si>
    <t>Vitamin C: 4.8 mg</t>
  </si>
  <si>
    <t>Calcium: 25.8 mg</t>
  </si>
  <si>
    <t>Sugars: 19 g</t>
  </si>
  <si>
    <t>Potassium: 105.6 mg</t>
  </si>
  <si>
    <t>Sauces</t>
  </si>
  <si>
    <t>1 Fluid Ounce</t>
  </si>
  <si>
    <t>410</t>
  </si>
  <si>
    <t>Chopped Onions</t>
  </si>
  <si>
    <t>Combine all ingredients and simmer for 15 minutes.</t>
  </si>
  <si>
    <t>Canned Tomato Paste</t>
  </si>
  <si>
    <t>1/6 #10 Can</t>
  </si>
  <si>
    <t>1/3 #10 Can</t>
  </si>
  <si>
    <t>1 #10 Can</t>
  </si>
  <si>
    <t>1 quart + 1/2 cup</t>
  </si>
  <si>
    <t>2 qts + 1 1/4 cups</t>
  </si>
  <si>
    <t>7 qts</t>
  </si>
  <si>
    <t>Ground Sage</t>
  </si>
  <si>
    <t>1/6 cup</t>
  </si>
  <si>
    <t>Calories: 12.8</t>
  </si>
  <si>
    <t>Total Fat: 0.11 g</t>
  </si>
  <si>
    <t>Saturated Fat: 0.002 g</t>
  </si>
  <si>
    <t>Sodium: 106.5 mg</t>
  </si>
  <si>
    <t>Total Carbohydrate: 2.41 g</t>
  </si>
  <si>
    <t>Vitamin A: 185.6 IU</t>
  </si>
  <si>
    <t>Protein: 0.7 g</t>
  </si>
  <si>
    <t>Calcium: 1.4 mg</t>
  </si>
  <si>
    <t>Sugars: 1.2 g</t>
  </si>
  <si>
    <t>Potassium: 68.4 mg</t>
  </si>
  <si>
    <t>Water: 3.7 g</t>
  </si>
  <si>
    <t>4 Tbsp (1 ounce ladle twice)</t>
  </si>
  <si>
    <t>405</t>
  </si>
  <si>
    <t>Heat oil over medium heat.</t>
  </si>
  <si>
    <t>Add flour and whisk until well combined, about 1</t>
  </si>
  <si>
    <t>minute.</t>
  </si>
  <si>
    <t xml:space="preserve">Add remaining ingredients except salt and pepper, </t>
  </si>
  <si>
    <t>2 #10 Cans + 15 oz</t>
  </si>
  <si>
    <t>3 #10 Cans + 89 oz</t>
  </si>
  <si>
    <t>4 1/4 #10 cans</t>
  </si>
  <si>
    <t>whisk, bring to boil, then reduce to simmer.</t>
  </si>
  <si>
    <t xml:space="preserve">Simmer for 10 minutes or so, until thickened, whisking </t>
  </si>
  <si>
    <t>Season with salt and pepper.</t>
  </si>
  <si>
    <t>Serving size is 1/4 cup (2 ounces).</t>
  </si>
  <si>
    <t>This can be stored for up to 2 weeks in the</t>
  </si>
  <si>
    <t>refrigerator. It also freezes well.</t>
  </si>
  <si>
    <t>7 Tbsp + 2 1/2 tsp</t>
  </si>
  <si>
    <t>14 Tbsp + 2 tsp</t>
  </si>
  <si>
    <t>15 Tbsp + 2 tsp</t>
  </si>
  <si>
    <t>Cayenne Pepper, Ground Chipotle, Paprika (optional)</t>
  </si>
  <si>
    <t>Calories: 8.97</t>
  </si>
  <si>
    <t>Sodium: 116.91 mg</t>
  </si>
  <si>
    <t>Saturated Fat: 0.0334 g</t>
  </si>
  <si>
    <t>Total Fat: 0.3099 g</t>
  </si>
  <si>
    <t>Carbohydrate: 1.5467 g</t>
  </si>
  <si>
    <t>Dietary Fiber: 0.2638 g</t>
  </si>
  <si>
    <t>Protein: 0.1979 g</t>
  </si>
  <si>
    <t>Vitamin A: 139.5513 IU</t>
  </si>
  <si>
    <t>Vitamin C: 1.9697 mg</t>
  </si>
  <si>
    <t>Calcium: 14.3732 mg</t>
  </si>
  <si>
    <t>Iron: 0.1530 mg</t>
  </si>
  <si>
    <t>Dressing</t>
  </si>
  <si>
    <t>2 Tbsp (1 ounce ladle)</t>
  </si>
  <si>
    <t>400</t>
  </si>
  <si>
    <t>Mayonnaise</t>
  </si>
  <si>
    <t>Blend all ingredients together.</t>
  </si>
  <si>
    <t>Label, date, and rotate.</t>
  </si>
  <si>
    <t>Place in cooler.</t>
  </si>
  <si>
    <t>8 Tbsp + 1 3/4 tsp</t>
  </si>
  <si>
    <t>Nutrient Analysis for 15 lbs of Coleslaw</t>
  </si>
  <si>
    <t>Calories: 71</t>
  </si>
  <si>
    <t>Sodium: 191 mg</t>
  </si>
  <si>
    <t>Total Carbohydrate: 2 g</t>
  </si>
  <si>
    <t>Dietary Fiber: 0.02 g</t>
  </si>
  <si>
    <t>Iron: 0.04 mg</t>
  </si>
  <si>
    <t>Vitamin A: 60 IU</t>
  </si>
  <si>
    <t>Protein: 0.6 g</t>
  </si>
  <si>
    <t>Calcium: 15 mg</t>
  </si>
  <si>
    <t>Potassium: 10 mg</t>
  </si>
  <si>
    <t>Water: 11 g</t>
  </si>
  <si>
    <t>Added Sugars: 1 g</t>
  </si>
  <si>
    <t>Gravy</t>
  </si>
  <si>
    <t>401</t>
  </si>
  <si>
    <t>1 1/4 cups + 2 Tbsp</t>
  </si>
  <si>
    <t xml:space="preserve">Melt butter in stockpot. Blend in flour and cook on </t>
  </si>
  <si>
    <t xml:space="preserve">medium heat, stirring frequently until light brown </t>
  </si>
  <si>
    <t>(5 minutes).</t>
  </si>
  <si>
    <t xml:space="preserve">Slowly stir in chicken stock, poultry seasoning, onion </t>
  </si>
  <si>
    <t>Chicken or Turkey Stock -</t>
  </si>
  <si>
    <t>2 gallons + 2 1/4 cups</t>
  </si>
  <si>
    <t>powder, pepper, garlic, and salt.</t>
  </si>
  <si>
    <t>No MSG (hot)</t>
  </si>
  <si>
    <t xml:space="preserve">Blend well and bring to boil. Reduce heat and simmer </t>
  </si>
  <si>
    <t>Poultry Seasoning</t>
  </si>
  <si>
    <t xml:space="preserve">on medium heat stirring constantly until thickened </t>
  </si>
  <si>
    <t>(6-8 minutes).</t>
  </si>
  <si>
    <t xml:space="preserve">Makes a tasty dipping sauce for chicken or fish </t>
  </si>
  <si>
    <t>nuggets.</t>
  </si>
  <si>
    <t xml:space="preserve">Serve over mashed potatoes, noodles, rice, meat or </t>
  </si>
  <si>
    <t>poultry.</t>
  </si>
  <si>
    <t>Calories: 23</t>
  </si>
  <si>
    <t>Sodium: 35 mg</t>
  </si>
  <si>
    <t>Saturated Fat: 0.31 g</t>
  </si>
  <si>
    <t>Carbohydrate: 1.99 g</t>
  </si>
  <si>
    <t>Protein: 0.38 g</t>
  </si>
  <si>
    <t>402</t>
  </si>
  <si>
    <t>1 Quart</t>
  </si>
  <si>
    <t>1 Gallon</t>
  </si>
  <si>
    <t>Combine all ingredients. Blend well.</t>
  </si>
  <si>
    <t>Cover. Refrigerate until service. For best results, refrigerate</t>
  </si>
  <si>
    <t>Low-fat Mayonnaise</t>
  </si>
  <si>
    <t>2 quarts + 2 cups</t>
  </si>
  <si>
    <t>overnight to develop flavor.</t>
  </si>
  <si>
    <t>Portion with 1 ounce ladle (2 Tbsp).</t>
  </si>
  <si>
    <t>Serve with raw vegetables or tossed green salads.</t>
  </si>
  <si>
    <t>Calories: 52</t>
  </si>
  <si>
    <t>Sodium: 269 mg</t>
  </si>
  <si>
    <t>Saturated Fat: 0.61 g</t>
  </si>
  <si>
    <t>Total Fat: 3.41 g</t>
  </si>
  <si>
    <t>Carbohydrate: 4.76 g</t>
  </si>
  <si>
    <t>Vitamin A: 27 IU</t>
  </si>
  <si>
    <t>Vitamin C: 0.2 mg</t>
  </si>
  <si>
    <t>Iron: 0.18 mg</t>
  </si>
  <si>
    <t>N/A</t>
  </si>
  <si>
    <t>403</t>
  </si>
  <si>
    <t>For 15 lbs Coleslaw</t>
  </si>
  <si>
    <t>For 20 lbs Coleslaw</t>
  </si>
  <si>
    <t>Light Mayonnaise</t>
  </si>
  <si>
    <t>Whisk all ingredients together in a bowl until smooth and creamy.</t>
  </si>
  <si>
    <t>Pour over shredded cabbage for coleslaw.</t>
  </si>
  <si>
    <t>White Sugar</t>
  </si>
  <si>
    <t>Refrigerate.</t>
  </si>
  <si>
    <t>1 cup 3 Tbsp</t>
  </si>
  <si>
    <t>1 1/2 cup + 1 Tbsp</t>
  </si>
  <si>
    <t>Common Mixes:</t>
  </si>
  <si>
    <t>3 pounds of cabbage to 1 pound of dressing</t>
  </si>
  <si>
    <t>1 pound of cabbage to 5 1/4 ounces of dressing</t>
  </si>
  <si>
    <t>1 Tbsp 1/2 tsp</t>
  </si>
  <si>
    <t>1 Tbsp + 1 1/2 tsp</t>
  </si>
  <si>
    <t>Calories: 446.3</t>
  </si>
  <si>
    <t>Total Fat: 35.3 g</t>
  </si>
  <si>
    <t>Saturated Fat: 5.36 g</t>
  </si>
  <si>
    <t>Cholesterol: 37.55 mg</t>
  </si>
  <si>
    <t>Sodium: 1237 mg</t>
  </si>
  <si>
    <t>Total Carbohydrate: 32.6 g</t>
  </si>
  <si>
    <t>Iron: 0.21 mg</t>
  </si>
  <si>
    <t>Vitamin A: 198.5 IU</t>
  </si>
  <si>
    <t>Protein: 0.64 g</t>
  </si>
  <si>
    <t>Vitamin C: 5.16 mg</t>
  </si>
  <si>
    <t>Calcium: 6.4 mg</t>
  </si>
  <si>
    <t>Sugars: 28 g</t>
  </si>
  <si>
    <t>Potassium: 67.5 mg</t>
  </si>
  <si>
    <t>Ash: 2.3 g</t>
  </si>
  <si>
    <t>Water: 59.55 g</t>
  </si>
  <si>
    <t>Added Sugars: 4.5 g</t>
  </si>
  <si>
    <t>404</t>
  </si>
  <si>
    <t>Oil</t>
  </si>
  <si>
    <t xml:space="preserve">Over medium heat, combine oil and garlic and sauté </t>
  </si>
  <si>
    <t>for about a minute until fragrant.</t>
  </si>
  <si>
    <t>87 each</t>
  </si>
  <si>
    <t>112 each</t>
  </si>
  <si>
    <t xml:space="preserve">Add all remaining ingredients and stir together. Bring </t>
  </si>
  <si>
    <t xml:space="preserve">to a simmer. Cover and reduce heat to maintain </t>
  </si>
  <si>
    <t>Chicken or Vegetable</t>
  </si>
  <si>
    <t xml:space="preserve">bubbles. Simmer for about 10 minutes, stirring </t>
  </si>
  <si>
    <t>Stock - No MSG</t>
  </si>
  <si>
    <t xml:space="preserve">occasionally, until thick enough to your liking. Adjust </t>
  </si>
  <si>
    <t>Tomato Sauce</t>
  </si>
  <si>
    <t>3 #10 Cans</t>
  </si>
  <si>
    <t>3 3/4 #10 Cans</t>
  </si>
  <si>
    <t>4 1/4 #10 Cans</t>
  </si>
  <si>
    <t>sea salt and black pepper to taste if needed (do</t>
  </si>
  <si>
    <t xml:space="preserve">this only after cooking, which develops the flavors and </t>
  </si>
  <si>
    <t>2 1/2 cups + 3 3/4 Tbsp</t>
  </si>
  <si>
    <t>heat).</t>
  </si>
  <si>
    <t>Sea Salt</t>
  </si>
  <si>
    <t>Black Pepper (option)</t>
  </si>
  <si>
    <t>Calories: 34</t>
  </si>
  <si>
    <t>406</t>
  </si>
  <si>
    <t>Combine all ingredients in mixer bowl. Blend for 3 minutes at medium speed.</t>
  </si>
  <si>
    <t>Cover. Refrigerate until service. For best results, refrigerate overnight to</t>
  </si>
  <si>
    <t>develop flavor. Stir or shake well before serving.</t>
  </si>
  <si>
    <t>Calories: 186</t>
  </si>
  <si>
    <t>Sodium: 327 mg</t>
  </si>
  <si>
    <t>Total Fat: 20 g</t>
  </si>
  <si>
    <t>Carbohydrate: 1 g</t>
  </si>
  <si>
    <t>Protein: 0 g</t>
  </si>
  <si>
    <t>407</t>
  </si>
  <si>
    <r>
      <t xml:space="preserve">Makes </t>
    </r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1/2 Cup</t>
    </r>
  </si>
  <si>
    <t>Whisk all ingredients together in a bowl until the oil emulsifies into the dressing.</t>
  </si>
  <si>
    <t>Calories: 184.4</t>
  </si>
  <si>
    <t>Sodium: 160.3 mg</t>
  </si>
  <si>
    <t>Saturated Fat: 2.8 g</t>
  </si>
  <si>
    <t>Total Fat: 20.3 g</t>
  </si>
  <si>
    <t>Carbohydrate: 1.3 g</t>
  </si>
  <si>
    <t>Protein: 0.2 g</t>
  </si>
  <si>
    <t>408</t>
  </si>
  <si>
    <t>Makes 48 Servings</t>
  </si>
  <si>
    <t>In blender, combine sugar, lemon juice, onion, mustard, and salt. Process until</t>
  </si>
  <si>
    <t>well blended. With machine still running, add oil in a slow steady stream until</t>
  </si>
  <si>
    <t>mixture is thick and smooth. Add poppyseeds and process a few seconds more.</t>
  </si>
  <si>
    <t>Diced Onions</t>
  </si>
  <si>
    <t>Dijon Style Mustard</t>
  </si>
  <si>
    <t>Poppy Seeds</t>
  </si>
  <si>
    <t>Calories: 147</t>
  </si>
  <si>
    <t>Total Fat: 12.8 g</t>
  </si>
  <si>
    <t>Sodium: 110 mg</t>
  </si>
  <si>
    <t>Total Carbohydrate: 8.7 g</t>
  </si>
  <si>
    <t>Iron: 0.07 mg</t>
  </si>
  <si>
    <t>Vitamin A: 0.03 IU</t>
  </si>
  <si>
    <t>Protein: 0.15 g</t>
  </si>
  <si>
    <t>Calcium: 11 mg</t>
  </si>
  <si>
    <t>Sugars: 8.5 g</t>
  </si>
  <si>
    <t>Potassium: 7.3 mg</t>
  </si>
  <si>
    <t>Water: 0.05 g</t>
  </si>
  <si>
    <t>123 Servings</t>
  </si>
  <si>
    <t>246 Servings</t>
  </si>
  <si>
    <t>492 Servings</t>
  </si>
  <si>
    <t>32 cups</t>
  </si>
  <si>
    <t xml:space="preserve">Combine buttermilk and lemon juice in a mixing bowl. </t>
  </si>
  <si>
    <t>.0287</t>
  </si>
  <si>
    <t xml:space="preserve">Allow mixture to rest for 10 minutes. Using a paddle </t>
  </si>
  <si>
    <t>2 1/2 Tbsp 2 1/2 tsp</t>
  </si>
  <si>
    <t>6 Tbsp 2 tsp</t>
  </si>
  <si>
    <t>3/4 cup 1 1/3 Tbsp</t>
  </si>
  <si>
    <t>attachment, blend in the yogurt and sour cream.</t>
  </si>
  <si>
    <t>.00102</t>
  </si>
  <si>
    <t xml:space="preserve">Let mixture rest for 5 more minutes. Add rest of </t>
  </si>
  <si>
    <t>3 cups 1 Tbsp</t>
  </si>
  <si>
    <t>6 cups 2 Tbsp</t>
  </si>
  <si>
    <t>12 cups 4 Tbsp</t>
  </si>
  <si>
    <t xml:space="preserve">ingredients to mixture in mixing bowl. Mix for 2-3 </t>
  </si>
  <si>
    <t>.015</t>
  </si>
  <si>
    <t>minutes on low speed until blended. Chill at least</t>
  </si>
  <si>
    <t>Light Sour Cream</t>
  </si>
  <si>
    <t xml:space="preserve">12 hours before serving to allow to thicken. </t>
  </si>
  <si>
    <t>4 cups 1 1/2 Tbsp</t>
  </si>
  <si>
    <t>8 cups 3 Tbsp</t>
  </si>
  <si>
    <t>16 cups 6 Tbsp</t>
  </si>
  <si>
    <t xml:space="preserve">Add an additional 8 ounces of mayo per 50 servings </t>
  </si>
  <si>
    <t>for an excellent vege dip.</t>
  </si>
  <si>
    <t>1/2 cup 2 Tbsp</t>
  </si>
  <si>
    <t>1 container of buttermilk = 1/2 gallon = 8 cups</t>
  </si>
  <si>
    <t>Dried Chives</t>
  </si>
  <si>
    <t>Calories: 44</t>
  </si>
  <si>
    <t>Total Fat: 3.5 g</t>
  </si>
  <si>
    <t>Cholesterol: 6.9 mg</t>
  </si>
  <si>
    <t>Sodium: 160 mg</t>
  </si>
  <si>
    <t>Total Carbohydrate: 2.8 g</t>
  </si>
  <si>
    <t>Dietary Fiber: 0.01 g</t>
  </si>
  <si>
    <t>Vitamin A: 65.7 IU</t>
  </si>
  <si>
    <t>Sugars: 1.7 g</t>
  </si>
  <si>
    <t>Potassium: 58 mg</t>
  </si>
  <si>
    <t>Ash: 0.2 g</t>
  </si>
  <si>
    <t>Water: 7.3 g</t>
  </si>
  <si>
    <t>Sauce</t>
  </si>
  <si>
    <t>3 Tbsp (1 1/2 ounce ladle)</t>
  </si>
  <si>
    <t>Low-Sodium Tamari Soy Sauce</t>
  </si>
  <si>
    <t xml:space="preserve">Dissolve cornstarch in soy sauce. Add ginger, </t>
  </si>
  <si>
    <t xml:space="preserve">granulated garlic, pepper, and sesame oil (optional) </t>
  </si>
  <si>
    <t>Cornstarch</t>
  </si>
  <si>
    <t>3/4 cup 2 Tbsp</t>
  </si>
  <si>
    <t>to this mixture.</t>
  </si>
  <si>
    <t>Heat stock in pot to the boiling point.</t>
  </si>
  <si>
    <t xml:space="preserve">Slowly stir in cornstarch-soy sauce mixture and return </t>
  </si>
  <si>
    <t>1/4 cup 2 Tbsp</t>
  </si>
  <si>
    <t>1/2 cup 2 1/2 Tbsp</t>
  </si>
  <si>
    <t>to boil. Continue cooking until sauce is smooth and</t>
  </si>
  <si>
    <t>thickened. Remove from heat. Use immediately.</t>
  </si>
  <si>
    <t>2 Tbsp 1 tsp</t>
  </si>
  <si>
    <t>Sesame Oil (optional)</t>
  </si>
  <si>
    <t xml:space="preserve">Makes an excellent dressing for a vegetable stir-fry. </t>
  </si>
  <si>
    <t>Use 1 quart of sauce for each 12 lbs of vegetables.</t>
  </si>
  <si>
    <t>Beef, Chicken, or Vege</t>
  </si>
  <si>
    <t>Stock (non-MSG)</t>
  </si>
  <si>
    <t>Calories: 15</t>
  </si>
  <si>
    <t>Total Fat: 0.07 g</t>
  </si>
  <si>
    <t>Carbohydrate: 3.12 g</t>
  </si>
  <si>
    <t>Protein: 0.47 g</t>
  </si>
  <si>
    <t>Vitamin A: 2 IU</t>
  </si>
  <si>
    <t>Calcium: 2 mg</t>
  </si>
  <si>
    <t>Brown Sugar, Packed</t>
  </si>
  <si>
    <t>Mix all dry ingredients in a bowl.</t>
  </si>
  <si>
    <t>Add Worcestershire sauce, ketchup, cider vinegar,</t>
  </si>
  <si>
    <t>1 Tbsp 2 tsp</t>
  </si>
  <si>
    <t xml:space="preserve">and soy sauce to the dry ingredients. Mix with wire </t>
  </si>
  <si>
    <t>whisk until well mixed.</t>
  </si>
  <si>
    <t>Onion Salt</t>
  </si>
  <si>
    <t xml:space="preserve">Cover and place in refrigerator overnight to develop </t>
  </si>
  <si>
    <t>flavors.</t>
  </si>
  <si>
    <t>1 Tbsp 2 1/4 tsp</t>
  </si>
  <si>
    <t xml:space="preserve">Use to baste chicken or meat during cooking, or as a </t>
  </si>
  <si>
    <t>1/4 cup 3 Tbsp</t>
  </si>
  <si>
    <t>dipping sauce for chicken and fish nuggets.</t>
  </si>
  <si>
    <t>Cider Vinegar</t>
  </si>
  <si>
    <t>Calories: 39</t>
  </si>
  <si>
    <t>Sodium: 531 mg</t>
  </si>
  <si>
    <t>Total Fat: 0.12 g</t>
  </si>
  <si>
    <t>Carbohydrate: 9.58 g</t>
  </si>
  <si>
    <t>Protein: 0.73 g</t>
  </si>
  <si>
    <t>Vitamin A: 231 IU</t>
  </si>
  <si>
    <t>Vitamin C: 3.5 mg</t>
  </si>
  <si>
    <t>Combine mayonnaise and ketchup. Blend well. Add pickle relish, onions, and</t>
  </si>
  <si>
    <t xml:space="preserve">pimientos (optional). Mix well. Cover. Refrigerate until service. For best </t>
  </si>
  <si>
    <t>3/4 cup 1 Tbsp</t>
  </si>
  <si>
    <t xml:space="preserve">results, refrigerate overnight to develop flavor. Stir or shake well before </t>
  </si>
  <si>
    <t>using.</t>
  </si>
  <si>
    <t>Sweet Pickle Relish</t>
  </si>
  <si>
    <t>Pimientos (optional)</t>
  </si>
  <si>
    <t>Sodium: 271 mg</t>
  </si>
  <si>
    <t>Carbohydrate: 7 g</t>
  </si>
  <si>
    <t>Self-Served</t>
  </si>
  <si>
    <t>409</t>
  </si>
  <si>
    <t>255 Servings</t>
  </si>
  <si>
    <t>Plain Low-Fat Yogurt (32</t>
  </si>
  <si>
    <t>5 1/2 each</t>
  </si>
  <si>
    <t>6 1/2 each</t>
  </si>
  <si>
    <t>Stir together yogurt, grated cucumber, garlic, lemon</t>
  </si>
  <si>
    <t>ounce container)</t>
  </si>
  <si>
    <t>juice, and olive oil in bowl. Add lemon zest, dill, salt,</t>
  </si>
  <si>
    <t>English Cucumber (grated</t>
  </si>
  <si>
    <t>2 1/4 each</t>
  </si>
  <si>
    <t>2 3/4 each</t>
  </si>
  <si>
    <t>3 1/4 each</t>
  </si>
  <si>
    <t>and pepper. Whisk until smooth. Pour into serving</t>
  </si>
  <si>
    <t>with peel)</t>
  </si>
  <si>
    <t>dish, cover tightly, and refrigerate 8 hours before</t>
  </si>
  <si>
    <t>Garlic Cloves (pressed)</t>
  </si>
  <si>
    <t>serving.</t>
  </si>
  <si>
    <t>2/3 cup + 2 tsp</t>
  </si>
  <si>
    <t>Lemon Zest (grated)</t>
  </si>
  <si>
    <t>2 Tbsp + 2 3/4 tsp</t>
  </si>
  <si>
    <t>3 Tbsp + 2 1/4 tsp</t>
  </si>
  <si>
    <t>Dill (fresh, chopped)</t>
  </si>
  <si>
    <t>Black Pepper (ground)</t>
  </si>
  <si>
    <t>Calories: 22</t>
  </si>
  <si>
    <t>Carbohydrate: 1.9 g</t>
  </si>
  <si>
    <t>Protein: 1.3 g</t>
  </si>
  <si>
    <t>Vitamin A: 41 IU</t>
  </si>
  <si>
    <t>Calcium: 43 mg</t>
  </si>
  <si>
    <t>Mix all ingredients well.</t>
  </si>
  <si>
    <t>Shake prior to serving as product will separate.</t>
  </si>
  <si>
    <t>Rice Wine Vinegar</t>
  </si>
  <si>
    <t>Mustard</t>
  </si>
  <si>
    <t>Garlic Cloves (chopped)</t>
  </si>
  <si>
    <t>Calories: 187</t>
  </si>
  <si>
    <t>Total Fat: 21 g</t>
  </si>
  <si>
    <t>Saturated Fat: 2.9 g</t>
  </si>
  <si>
    <t>Sodium: 10.7 mg</t>
  </si>
  <si>
    <t>Total Carbohydrate: 0.3 g</t>
  </si>
  <si>
    <t>Iron: 0.12 mg</t>
  </si>
  <si>
    <t>Calcium: 2.9 mg</t>
  </si>
  <si>
    <t>Potassium: 0.21 mg</t>
  </si>
  <si>
    <t>1 pat</t>
  </si>
  <si>
    <t>500</t>
  </si>
  <si>
    <t>Amount</t>
  </si>
  <si>
    <t>Melt butter. Add spices. Brush on slices of Italian bread.</t>
  </si>
  <si>
    <t>Calories: 32.9</t>
  </si>
  <si>
    <t>Total Fat: 3.7 g</t>
  </si>
  <si>
    <t>Saturated Fat: 2.3 g</t>
  </si>
  <si>
    <t>Cholesterol: 9.9 mg</t>
  </si>
  <si>
    <t>Sodium: 12.2 mg</t>
  </si>
  <si>
    <t>Carbohydrate: 0.1 g</t>
  </si>
  <si>
    <t>Iron: 0.1 %</t>
  </si>
  <si>
    <t>Vitamin A: 2.8%</t>
  </si>
  <si>
    <t>Protein: 0.1 g</t>
  </si>
  <si>
    <t>Calcium: 0.1%</t>
  </si>
  <si>
    <t>504</t>
  </si>
  <si>
    <t>Calories: 102</t>
  </si>
  <si>
    <t>Total Fat: 11.52 g</t>
  </si>
  <si>
    <t>Saturated Fat: 7.3 g</t>
  </si>
  <si>
    <t>Sodium: 82 mg</t>
  </si>
  <si>
    <t>Carbohydrate: 0.01 g</t>
  </si>
  <si>
    <t>Iron: 0</t>
  </si>
  <si>
    <t>Vitamin A: 7%</t>
  </si>
  <si>
    <t>Protein: 0.12 g</t>
  </si>
  <si>
    <t>Calcium: 0</t>
  </si>
  <si>
    <t>501</t>
  </si>
  <si>
    <t>Cottage Cheese</t>
  </si>
  <si>
    <t>80 ounces</t>
  </si>
  <si>
    <t>103 ounces</t>
  </si>
  <si>
    <t>114 ounces</t>
  </si>
  <si>
    <t>Mix all ingredients. Refrigerate any unused product.</t>
  </si>
  <si>
    <t>Feta Cheese</t>
  </si>
  <si>
    <t>Calories: 18.9</t>
  </si>
  <si>
    <t>Total Fat: 0.9 g</t>
  </si>
  <si>
    <t>Cholesterol: 3.5 mg</t>
  </si>
  <si>
    <t>Sodium: 61.9 mg</t>
  </si>
  <si>
    <t>Total Carbohydrate: 0.9 g</t>
  </si>
  <si>
    <t>Vitamin A: 46.84 IU</t>
  </si>
  <si>
    <t>Calcium: 24.9 mg</t>
  </si>
  <si>
    <t>Sugars: 0.46 g</t>
  </si>
  <si>
    <t>Vitamin D: 0.02 mcg</t>
  </si>
  <si>
    <t>Potassium: 26.95 mg</t>
  </si>
  <si>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3 1/2 cups</t>
    </r>
  </si>
  <si>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4 1/2 cups</t>
    </r>
  </si>
  <si>
    <r>
      <rPr>
        <b/>
        <u/>
        <sz val="11"/>
        <color theme="1"/>
        <rFont val="Calibri"/>
        <family val="2"/>
      </rPr>
      <t>≈</t>
    </r>
    <r>
      <rPr>
        <b/>
        <u/>
        <sz val="11"/>
        <color theme="1"/>
        <rFont val="Arial"/>
        <family val="2"/>
      </rPr>
      <t xml:space="preserve"> 5 cups</t>
    </r>
  </si>
  <si>
    <t xml:space="preserve">Combine all ingredients in large mixing bowl. </t>
  </si>
  <si>
    <t xml:space="preserve">Best used as a dry rub for meat and poultry. Rub </t>
  </si>
  <si>
    <t>meat before cooking.</t>
  </si>
  <si>
    <t xml:space="preserve">Scale out and set aside desired amount before </t>
  </si>
  <si>
    <t>working with raw product.</t>
  </si>
  <si>
    <t>3/4 cup (use less</t>
  </si>
  <si>
    <t>7/8 cup (use less</t>
  </si>
  <si>
    <t>1 cup (use less</t>
  </si>
  <si>
    <t>Seasoning can be stored for up to 6 months.</t>
  </si>
  <si>
    <t>for table salt)</t>
  </si>
  <si>
    <t>1/3 cup + 2 1/2 Tbsp</t>
  </si>
  <si>
    <t>7/8 Tbsp</t>
  </si>
  <si>
    <t>Low-Sodium Seasoning for Squash and Carrots (Team Nutrition Iowa)</t>
  </si>
  <si>
    <t>502</t>
  </si>
  <si>
    <t>Mix ingredients and put into shaker.</t>
  </si>
  <si>
    <t>Ginger (ground)</t>
  </si>
  <si>
    <t>Low-Sodium Seasoning for Potatoes (Team Nutrition Iowa)</t>
  </si>
  <si>
    <t>Dill Weed</t>
  </si>
  <si>
    <t>Dried Sage</t>
  </si>
  <si>
    <t>Low-Sodium Seasoning for Vegetables and French Fries (Team Nutrition Iowa)</t>
  </si>
  <si>
    <t>Low-Sodium Seasoning for Vegetables (Team Nutrition Iowa)</t>
  </si>
  <si>
    <t>0.8 ounces = 1 grain</t>
  </si>
  <si>
    <t>503</t>
  </si>
  <si>
    <t>10-0.8 oz Servings</t>
  </si>
  <si>
    <t>Whole Wheat Bread (cut into</t>
  </si>
  <si>
    <t>Preheat oven to 350° F. Arrange bread cubes in a single layer on baking sheet. Lightly coat</t>
  </si>
  <si>
    <t>1" cubes)</t>
  </si>
  <si>
    <t>bread cubes with cooking spray and sprinkle with Italian seasoning and garlic powder/salt.</t>
  </si>
  <si>
    <t>Olive Oil Flavored Nonstick</t>
  </si>
  <si>
    <t>Bake for 15 minutes, or until lightly browned (check at 10 minutes).</t>
  </si>
  <si>
    <t>Garlic Powder/Salt</t>
  </si>
  <si>
    <t>Calories: 60.5</t>
  </si>
  <si>
    <t>Total Fat: 0.756 g</t>
  </si>
  <si>
    <t>Sodium: 191.8 mg</t>
  </si>
  <si>
    <t>Total Carbohydrate: 11.1 g</t>
  </si>
  <si>
    <t>Calcium: 10.1 mg</t>
  </si>
  <si>
    <t>Potassium: 47.4 mg</t>
  </si>
  <si>
    <t>Water: 0.04 g</t>
  </si>
  <si>
    <t>1 to 1 1/2 Quarts</t>
  </si>
  <si>
    <t>Green Cabbage (shredded)</t>
  </si>
  <si>
    <t>1. Ensure storage container well washed and rinsed.</t>
  </si>
  <si>
    <t>2. Slice the cabbage, discarding any limp or wilted leaves. Cut the cabbage into quarters and</t>
  </si>
  <si>
    <t>trim out the core. Slice each quarter down its length, making 8 wedges. Slice each wedge</t>
  </si>
  <si>
    <t>crosswise into very thin ribbons.</t>
  </si>
  <si>
    <t>Caraway Seeds (optional)</t>
  </si>
  <si>
    <t>3. Transfer cabbage to a big mixing bowl and sprinkle the salt over the top. Begin working the</t>
  </si>
  <si>
    <t>salt into the cabbage by massaging and squeezing the cabbage with your hands. At first it</t>
  </si>
  <si>
    <t>might not seem like enough salt, but gradually the cabbage will become watery and limp -</t>
  </si>
  <si>
    <t>more like coleslaw than raw cabbage. This will take 5 to 10 minutes. If you'd like to flavor</t>
  </si>
  <si>
    <t>your sauerkraut with caraway seeds, mix them in now.</t>
  </si>
  <si>
    <t xml:space="preserve">4. Pack the cabbage into your storage container, every now and then tamping down the </t>
  </si>
  <si>
    <t>cabbage with your fist. Pour any liquid released by the cabbage while you were massaging it</t>
  </si>
  <si>
    <t>into the storage container.</t>
  </si>
  <si>
    <t>5. Optional: Place one of the larger outer leaves of the cabbage over the surface of the sliced</t>
  </si>
  <si>
    <t>cabbage. This will help keep the cabbage submerged in its liquid.</t>
  </si>
  <si>
    <t>6. Weigh down the cabbage with a smaller storage container so the cabbage stays submerged</t>
  </si>
  <si>
    <t>beneath its liquid.</t>
  </si>
  <si>
    <t>7. Cover the storage container with a cloth and secure it will a rubber band or twine. This</t>
  </si>
  <si>
    <t>allows air to flow in and out of the storage container, but prevents dust or insects from</t>
  </si>
  <si>
    <t>getting into the storage container.</t>
  </si>
  <si>
    <t>8. Press the cabbage every few hours over the next 24 hours.</t>
  </si>
  <si>
    <t>9. Add extra liquid if needed. If after 24 hours, the liquid has not risen above the cabbage,</t>
  </si>
  <si>
    <t>dissolve 1 tsp of salt in 1 cup of water and add enough to submerge the cabbage.</t>
  </si>
  <si>
    <t>10. Ferment the cabbage for 3 to 10 days. Keep the sauerkraut away from direct sunlight and</t>
  </si>
  <si>
    <t>at a cool room temperature - ideally between 65° F to 75° F. Check daily and press down</t>
  </si>
  <si>
    <t>cabbage that is floating above the liquid.</t>
  </si>
  <si>
    <t>11. Start tasting after 3 days. When the sauerkraut tastes good to you, remove the weight,</t>
  </si>
  <si>
    <t>cover, and refrigerate.</t>
  </si>
  <si>
    <t>12. While it's fermenting, you may see bubbles coming through the cabbage, foam on the top, or</t>
  </si>
  <si>
    <t>white scum. These are all signs of a healthy, happy fermentation process. The scum can be</t>
  </si>
  <si>
    <t>skimmed off the top either during fermentation or before refrigerating. If you see any mold,</t>
  </si>
  <si>
    <t>skim it off immediately and make sure your cabbage is fully submerged. Do not eat moldy</t>
  </si>
  <si>
    <t>parts close to the surface, but the rest of the sauerkraut is fine.</t>
  </si>
  <si>
    <t>13. Sauerkraut can be stored for several months when refrigerated.</t>
  </si>
  <si>
    <t>Calories: 27</t>
  </si>
  <si>
    <t>Total Fat: 0.2 g</t>
  </si>
  <si>
    <t>Sodium: 939 mg</t>
  </si>
  <si>
    <t>Iron: 11%</t>
  </si>
  <si>
    <t>Vitamin C: 34%</t>
  </si>
  <si>
    <t>Sugar: 2.5 g</t>
  </si>
  <si>
    <t>Calcium: 4%</t>
  </si>
  <si>
    <t>505</t>
  </si>
  <si>
    <t>4 3/8 lbs</t>
  </si>
  <si>
    <t>Soaking Beans:</t>
  </si>
  <si>
    <r>
      <rPr>
        <b/>
        <i/>
        <sz val="10"/>
        <color theme="1"/>
        <rFont val="Arial"/>
        <family val="2"/>
      </rPr>
      <t>Overnight method</t>
    </r>
    <r>
      <rPr>
        <sz val="10"/>
        <color theme="1"/>
        <rFont val="Arial"/>
        <family val="2"/>
      </rPr>
      <t xml:space="preserve">: Add 1 3/4 quarts cold water to </t>
    </r>
  </si>
  <si>
    <t>every 1 pound of dry beans. Cover and refrigerate</t>
  </si>
  <si>
    <t>overnight. Discard the water. Proceed with recipe.</t>
  </si>
  <si>
    <r>
      <rPr>
        <b/>
        <i/>
        <sz val="10"/>
        <color theme="1"/>
        <rFont val="Arial"/>
        <family val="2"/>
      </rPr>
      <t>Quick-soak method</t>
    </r>
    <r>
      <rPr>
        <sz val="10"/>
        <color theme="1"/>
        <rFont val="Arial"/>
        <family val="2"/>
      </rPr>
      <t xml:space="preserve">: Boil 1 3/4 quarts of water for </t>
    </r>
  </si>
  <si>
    <t xml:space="preserve">each 1 pound of dry beans. Add beans and boil for </t>
  </si>
  <si>
    <t xml:space="preserve">2 minutes. Remove from heat and allow to soak for </t>
  </si>
  <si>
    <t>1 hour. Discard the water. Proceed with recipe.</t>
  </si>
  <si>
    <r>
      <rPr>
        <b/>
        <i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: 1 pound dry kidney beans = about 2 3/8 cups </t>
    </r>
  </si>
  <si>
    <t>dry or 5 1/4 cups cooked beans.</t>
  </si>
  <si>
    <t>Cooking Beans:</t>
  </si>
  <si>
    <t xml:space="preserve">Once the beans have been soaked, add 1 3/4 quarts </t>
  </si>
  <si>
    <t>of water and 1/2 tsp salt for every pound of dry</t>
  </si>
  <si>
    <t xml:space="preserve">beans. Boil gently with lid tilted until tender, about </t>
  </si>
  <si>
    <t>2 hours. Use beans immediately.</t>
  </si>
  <si>
    <t xml:space="preserve">CCP: Hold for hot service at 135° F or higher; or chill </t>
  </si>
  <si>
    <t>for later use - CCP: Cool to 70° F within 2 hours and</t>
  </si>
  <si>
    <t>to 41° F or lower within 4 hours.</t>
  </si>
  <si>
    <t>Calories: 119</t>
  </si>
  <si>
    <t>Total Fat: 0 g</t>
  </si>
  <si>
    <t>Sodium: 9 mg</t>
  </si>
  <si>
    <t>Dietary Fiber: 8 g</t>
  </si>
  <si>
    <t>Potassium: 320 mg</t>
  </si>
  <si>
    <t>Sugar: 0 g</t>
  </si>
  <si>
    <t>Store in airtight container. Before using, stir or shake all ingredients well as</t>
  </si>
  <si>
    <t>settling may occur.</t>
  </si>
  <si>
    <t>1 qt</t>
  </si>
  <si>
    <t>Calories: 14</t>
  </si>
  <si>
    <t>Total Fat: 0.37 g</t>
  </si>
  <si>
    <t>Sodium: 1 mg</t>
  </si>
  <si>
    <t>Carbohydrate: 3.21 g</t>
  </si>
  <si>
    <t>Vitamin A: 395 IU</t>
  </si>
  <si>
    <t>Protein: 0.63 g</t>
  </si>
  <si>
    <t>Vitamin C: 2.8 mg</t>
  </si>
  <si>
    <t>Calcium: 97 mg</t>
  </si>
  <si>
    <t>Top Pastry Crust for Steamtable Pans (USDA)</t>
  </si>
  <si>
    <t>1 Piece</t>
  </si>
  <si>
    <t>1 pound 2 ounces</t>
  </si>
  <si>
    <t>2 pound 4 ounces</t>
  </si>
  <si>
    <t>For top crust: Combine flour and salt. Mix in shortening until size of small</t>
  </si>
  <si>
    <t>peas.</t>
  </si>
  <si>
    <t>Add water and mix just until dry ingredients are moistened.</t>
  </si>
  <si>
    <t>Roll out pastry dough into rectangle (about 12" x 20") on lightly floured</t>
  </si>
  <si>
    <t>Shortening</t>
  </si>
  <si>
    <t>surface.</t>
  </si>
  <si>
    <t xml:space="preserve">Use about 2 pounds 1 ounce of dough for each steamtable pan </t>
  </si>
  <si>
    <t>(12" x 20" x 2 1/2").</t>
  </si>
  <si>
    <t>For 50 servings, use 1 pan. For 100 servings, use 2 pans.</t>
  </si>
  <si>
    <t xml:space="preserve">Place pastry crust over desired filling, such as fruit pie and cobbler filling. </t>
  </si>
  <si>
    <t>Bake as directed in filling recipe.</t>
  </si>
  <si>
    <t>Cut each steamtable pan 5x10 (50 servings per pan).</t>
  </si>
  <si>
    <t>Calories: 87</t>
  </si>
  <si>
    <t>Total Fat: 5.77 g</t>
  </si>
  <si>
    <t>Saturated Fat: 1.43 g</t>
  </si>
  <si>
    <t>Sodium: 46 mg</t>
  </si>
  <si>
    <t>Carbohydrate: 7.79 g</t>
  </si>
  <si>
    <t>Dietary Fiber: 0.3 g</t>
  </si>
  <si>
    <t>Iron: 0.47 mg</t>
  </si>
  <si>
    <t>Protein: 1.05 g</t>
  </si>
  <si>
    <t>20 cups</t>
  </si>
  <si>
    <t>Bring a large pot of water to boil. Add noodles and cook until tender</t>
  </si>
  <si>
    <t>according to package directions. Drain.</t>
  </si>
  <si>
    <t>Ginger Root (fresh, minced)</t>
  </si>
  <si>
    <t>Meanwhile, combine chicken broth, ginger, soy sauce, peanut butter, honey,</t>
  </si>
  <si>
    <t>chili paste and garlic in a small sauce pan. Cook over medium heat until</t>
  </si>
  <si>
    <t>peanut butter melts and is heated through. Add noodles and toss to coat.</t>
  </si>
  <si>
    <t>Garnish with green onions and peanuts.</t>
  </si>
  <si>
    <t>Hot Chili Paste (optional)</t>
  </si>
  <si>
    <t>120 each</t>
  </si>
  <si>
    <t>187 each</t>
  </si>
  <si>
    <t>Udon Noodles</t>
  </si>
  <si>
    <t>19 3/4 lbs</t>
  </si>
  <si>
    <t>30 3/4 lbs</t>
  </si>
  <si>
    <t>Peanuts (chopped)</t>
  </si>
  <si>
    <t>Calories: 330</t>
  </si>
  <si>
    <t>Sodium: 1188 mg</t>
  </si>
  <si>
    <t>Carbohydrate: 46.8 g</t>
  </si>
  <si>
    <t>Vitamin A: 63 IU</t>
  </si>
  <si>
    <t>Protein: 10.7 g</t>
  </si>
  <si>
    <t>Calcium: 31 mg</t>
  </si>
  <si>
    <t>Pico de Gallo (Julie Zehrung)</t>
  </si>
  <si>
    <t>2 - 1/3 Pans</t>
  </si>
  <si>
    <t>Tomato (medium, diced)</t>
  </si>
  <si>
    <t>Combine all ingredients. Let chill prior to service.</t>
  </si>
  <si>
    <t>Red Onion (finely diced)</t>
  </si>
  <si>
    <t>White Onion (finely diced)</t>
  </si>
  <si>
    <t>Cilantro (finely chopped)</t>
  </si>
  <si>
    <t>5 ounces</t>
  </si>
  <si>
    <t>Jalapeno (roasted, chopped)</t>
  </si>
  <si>
    <t>Calories: 21</t>
  </si>
  <si>
    <t>Total Fat: 0.1 g</t>
  </si>
  <si>
    <t>Sodium: 76 mg</t>
  </si>
  <si>
    <t>Carbohydrate: 4.7 g</t>
  </si>
  <si>
    <t>Vitamin A: 393 IU</t>
  </si>
  <si>
    <t>Protein: 0.8 g</t>
  </si>
  <si>
    <t>Item</t>
  </si>
  <si>
    <t>Measurement Conversion</t>
  </si>
  <si>
    <t>Weight and Conversion Data</t>
  </si>
  <si>
    <t>Cooking Temperatures</t>
  </si>
  <si>
    <t>1 cup = 4.8 ounces = 136.08 grams</t>
  </si>
  <si>
    <t>1 cup of liquid = 240 grams</t>
  </si>
  <si>
    <t>Poultry</t>
  </si>
  <si>
    <t>165* F</t>
  </si>
  <si>
    <t>1 tsp = 0.1 ounces</t>
  </si>
  <si>
    <t>1 ounce = 28.35 grams</t>
  </si>
  <si>
    <t>Ground Meat</t>
  </si>
  <si>
    <t>155* F</t>
  </si>
  <si>
    <t>All-Purpose Flour</t>
  </si>
  <si>
    <t>1 cup = 125 grams = 4.4 ounces (per USDA)</t>
  </si>
  <si>
    <t>1 gallon = 128 ounces</t>
  </si>
  <si>
    <t>Seafood, Roasts</t>
  </si>
  <si>
    <t>145* F</t>
  </si>
  <si>
    <t>1 Tbsp = 0.2815 ounces = 7.98 grams</t>
  </si>
  <si>
    <t>#10 can = 3120 grams</t>
  </si>
  <si>
    <t>Fruits, Veges, Beans,</t>
  </si>
  <si>
    <t>1 cup = 3.3863 ounces = 96 grams</t>
  </si>
  <si>
    <t>1 quart = 1024 grams</t>
  </si>
  <si>
    <t>Grains</t>
  </si>
  <si>
    <t>135* F</t>
  </si>
  <si>
    <t>1 tsp = 4 grams</t>
  </si>
  <si>
    <t>1 cup = 0.25 quarts</t>
  </si>
  <si>
    <t>190*-210* F</t>
  </si>
  <si>
    <t>1 cup = 10.1589 ounces = 288 grams</t>
  </si>
  <si>
    <t>1 pound = 453.59 grams</t>
  </si>
  <si>
    <t>Pizza, Fries</t>
  </si>
  <si>
    <t>150* F</t>
  </si>
  <si>
    <t>Asparagus</t>
  </si>
  <si>
    <t>1 cup = 3 cups chopped</t>
  </si>
  <si>
    <t>1 Tbsp = 3 tsp</t>
  </si>
  <si>
    <t>1 cup = 230 grams</t>
  </si>
  <si>
    <t>1 cup = 16 Tbsp</t>
  </si>
  <si>
    <t>1 Tbsp = 28 grams</t>
  </si>
  <si>
    <t>1 cup = 48 tsp</t>
  </si>
  <si>
    <t>Product Yields</t>
  </si>
  <si>
    <t>Banana</t>
  </si>
  <si>
    <t>Peeled = 4 ounces = 116 grams</t>
  </si>
  <si>
    <t>Basil - dried</t>
  </si>
  <si>
    <t>1 cup = 2.53973 ounces = 72 grams</t>
  </si>
  <si>
    <t>1 fluid ounce = 1.0432 ounce (weight)</t>
  </si>
  <si>
    <t>Chicken 75%</t>
  </si>
  <si>
    <t>Basil - fresh</t>
  </si>
  <si>
    <t>1 cup = 0.88 ounces</t>
  </si>
  <si>
    <t>1 gallon liquid = 8 pounds</t>
  </si>
  <si>
    <t>Chicken with bone - assume bone is 2 ounces</t>
  </si>
  <si>
    <t>Bay Leaf</t>
  </si>
  <si>
    <t>Each about 0.2 grams</t>
  </si>
  <si>
    <t>1 pint = 16 fluid ounces</t>
  </si>
  <si>
    <t>Green Pepper 80%</t>
  </si>
  <si>
    <t>1 cup = 1.02 ounces = 28.92 grams</t>
  </si>
  <si>
    <t>Watermelon 61%</t>
  </si>
  <si>
    <t>Bean Sprouts</t>
  </si>
  <si>
    <t>1 cup = 2.99829 ounces = 85 grams</t>
  </si>
  <si>
    <t>8 fluid ounces = 1 cup = 236.588 grams</t>
  </si>
  <si>
    <t>Beef 15% Fat 75%</t>
  </si>
  <si>
    <t>Beans - Canned</t>
  </si>
  <si>
    <t>1 cup = 256 grams</t>
  </si>
  <si>
    <t>1 cup = 0.0625 gallons</t>
  </si>
  <si>
    <t>Peeled Fruit 50%</t>
  </si>
  <si>
    <t>Beans - string</t>
  </si>
  <si>
    <t>1 pound = 4 cups chopped</t>
  </si>
  <si>
    <t>mL milk to grams (mL x 1.03 = grams)</t>
  </si>
  <si>
    <t>101 ounce can of veges 59%</t>
  </si>
  <si>
    <t>Beets</t>
  </si>
  <si>
    <t>1 pound (5 medium) = 2.5 cups chopped</t>
  </si>
  <si>
    <t>Bell Pepper - any color</t>
  </si>
  <si>
    <t>1 cup = 141.75 grams = 5 ounces</t>
  </si>
  <si>
    <t>Each about 4 ounces</t>
  </si>
  <si>
    <t>Berries - frozen</t>
  </si>
  <si>
    <t>1 cup = 4.93835 ounces = 140 grams</t>
  </si>
  <si>
    <t>1 cup = 2.2 ounces = 62.37 grams</t>
  </si>
  <si>
    <t>USDA Food Buying Guide Vegetable Categories</t>
  </si>
  <si>
    <t>1 cup = 4.00712 ounces = 113.6 grams</t>
  </si>
  <si>
    <t>Bread Flour</t>
  </si>
  <si>
    <t>1 cup = 4.8 ounces = 136 grams</t>
  </si>
  <si>
    <t>0.5 pound = 3 cups chopped</t>
  </si>
  <si>
    <t>Lettuce</t>
  </si>
  <si>
    <t>Potato</t>
  </si>
  <si>
    <t>Corn</t>
  </si>
  <si>
    <t>1 cup = 7.75 ounces = 220 grams</t>
  </si>
  <si>
    <t>Red Peppers</t>
  </si>
  <si>
    <t>Green Pea</t>
  </si>
  <si>
    <t>1 cup = 0.5 pound = 226.8 grams</t>
  </si>
  <si>
    <t>Green Chili</t>
  </si>
  <si>
    <t>1 cup = 8.54 ounces = 242.1 grams</t>
  </si>
  <si>
    <t>Mushroom</t>
  </si>
  <si>
    <t>Cabbage - medium head</t>
  </si>
  <si>
    <t>Each is about 2 pounds</t>
  </si>
  <si>
    <t>Pepperocini</t>
  </si>
  <si>
    <t>1 pound = 4.5 cups shredded</t>
  </si>
  <si>
    <t>Green Onion</t>
  </si>
  <si>
    <t>Pumpkin</t>
  </si>
  <si>
    <t>Caraway Seeds</t>
  </si>
  <si>
    <t>1 cup = 3.78 ounces = 107.16 grams</t>
  </si>
  <si>
    <t>Okra</t>
  </si>
  <si>
    <t>Sweet Potato</t>
  </si>
  <si>
    <t>1 pound = 3.5 cups sliced or grated (4.57 oz/cup)</t>
  </si>
  <si>
    <t>Green Bean</t>
  </si>
  <si>
    <t>Carrots - baby</t>
  </si>
  <si>
    <t>1 cup = 3.88014 ounces = 110 grams</t>
  </si>
  <si>
    <t>Yellow Squash</t>
  </si>
  <si>
    <t>Bean/Pea</t>
  </si>
  <si>
    <t>Each head about 840 grams</t>
  </si>
  <si>
    <t>Zucchini</t>
  </si>
  <si>
    <t>Dry Pea</t>
  </si>
  <si>
    <t>1 cup = 67.63 grams</t>
  </si>
  <si>
    <t>1 cup = 2.99123 ounces = 84.8 grams</t>
  </si>
  <si>
    <t>Green Cabbage</t>
  </si>
  <si>
    <t>1 cup = 113.4 grams = 4 ounces</t>
  </si>
  <si>
    <t>Cucumber</t>
  </si>
  <si>
    <t>1 quart = 527.83 grams</t>
  </si>
  <si>
    <t>Celery Seeds</t>
  </si>
  <si>
    <t>1 cup = 3.66849 ounces = 104 grams</t>
  </si>
  <si>
    <t>Cheese - shredded</t>
  </si>
  <si>
    <t>1 cup = 113.4 grams = 0.25 pound</t>
  </si>
  <si>
    <t>Cherry Tomatoes</t>
  </si>
  <si>
    <t>1 cup = 8.60685 ounces = 244 grams</t>
  </si>
  <si>
    <t>Chicken &amp; Vegetabe Base (Paste)</t>
  </si>
  <si>
    <t>1 cup = 288 grams</t>
  </si>
  <si>
    <t>1 tsp makes 8 ounces broth</t>
  </si>
  <si>
    <t>1 container = 1.5 cups</t>
  </si>
  <si>
    <t>Chicken and Vegetable Base (Paste) - Reconstituted</t>
  </si>
  <si>
    <t>1 cup = 8.88904 ounces or 252 grams</t>
  </si>
  <si>
    <t>1 cup = 4.51507 ounces = 128 grams</t>
  </si>
  <si>
    <t>Chili's</t>
  </si>
  <si>
    <t>1 cup = 3 ounces = 85.05 grams</t>
  </si>
  <si>
    <t>Chipotle Chili Powder</t>
  </si>
  <si>
    <t>1 cup = 5.28 ounces = 149.68 grams</t>
  </si>
  <si>
    <t>Chives - dried</t>
  </si>
  <si>
    <t>1 cup = 3.38 grams</t>
  </si>
  <si>
    <t>1 tsp = 0.04 ounces</t>
  </si>
  <si>
    <t>1 cup = 0.56 ounces</t>
  </si>
  <si>
    <t>Cilantro - bunch</t>
  </si>
  <si>
    <t>Each bunch about 4 ounces = 113.4 grams</t>
  </si>
  <si>
    <t>1 cup = 4.40219 ounces = 124.8 grams</t>
  </si>
  <si>
    <t>Cloves - whole</t>
  </si>
  <si>
    <t>1 cup = 3.55562 ounces = 100.8 grams</t>
  </si>
  <si>
    <t>Cocoa Powder (unsweetened)</t>
  </si>
  <si>
    <t>1 cup = 2.82192 ounces = 80 grams</t>
  </si>
  <si>
    <t>Coconut Milk</t>
  </si>
  <si>
    <t>#10 can = 2898.27 grams</t>
  </si>
  <si>
    <t>1 tsp = 1.8 grams</t>
  </si>
  <si>
    <t>1 cup = 5.82 ounces = 165 grams</t>
  </si>
  <si>
    <t>1 cup = 4.52 ounces = 128.14 grams</t>
  </si>
  <si>
    <t>1 cup = 4.3 ounces = 122 grams (per USDA)</t>
  </si>
  <si>
    <t>Craisins</t>
  </si>
  <si>
    <t>1 cup = 120 grams = 4.25 ounces</t>
  </si>
  <si>
    <t>1 cup = 1.05822 ounces</t>
  </si>
  <si>
    <t>#10 can = 2891.65 grams = 102 ounces</t>
  </si>
  <si>
    <t>1 cup = 8.5363 ounces</t>
  </si>
  <si>
    <t>Each about 0.5 pounds = 226.8 grams</t>
  </si>
  <si>
    <t>1 cup = 5.2 ounces = 147.42 grams</t>
  </si>
  <si>
    <t>1 pound (2 medium) = 4 cups sliced</t>
  </si>
  <si>
    <t>Dehydrated Onion</t>
  </si>
  <si>
    <t>1 cup = 1.97534 ounces = 56 grams</t>
  </si>
  <si>
    <t>1 tsp = 0.04115 ounces</t>
  </si>
  <si>
    <t>Diced Tomatoes - canned</t>
  </si>
  <si>
    <t>1 cup = 8.46575 ounces = 240 grams</t>
  </si>
  <si>
    <t>Dillweed</t>
  </si>
  <si>
    <t>1 cup = 1.74959 ounces = 49.6 grams</t>
  </si>
  <si>
    <t>Egg - large grade A brown</t>
  </si>
  <si>
    <t>Each about 2.125 ounces = 60.2 grams</t>
  </si>
  <si>
    <t>Eggplant</t>
  </si>
  <si>
    <t>6 cups raw, cubed = 3 cups cooked</t>
  </si>
  <si>
    <t>1 cup = 3.27342 ounces = 92.8 grams</t>
  </si>
  <si>
    <t>1 cup = 8.65755 ounces</t>
  </si>
  <si>
    <t>Garlic - chopped</t>
  </si>
  <si>
    <t>1 cup = 4.79726 ounces = 136 grams</t>
  </si>
  <si>
    <t>Garlic Clove</t>
  </si>
  <si>
    <t>Each about 3 grams = 1 tsp chopped</t>
  </si>
  <si>
    <t>1 cup = 144 grams</t>
  </si>
  <si>
    <t>1 cup = 5.47452 ounces = 155.2 grams</t>
  </si>
  <si>
    <t>1 cup = 6.09534 ounces = 172.8 grams</t>
  </si>
  <si>
    <t>Ginger - ground</t>
  </si>
  <si>
    <t>1 cup = 2.93479 ounces = 83.2 grams</t>
  </si>
  <si>
    <t>1 cup = 5.64383 ounces = 160 grams</t>
  </si>
  <si>
    <t>1 cup = 7.1 ounces = 201 grams</t>
  </si>
  <si>
    <t>1 tsp = 3 grams</t>
  </si>
  <si>
    <t>Grapefruit</t>
  </si>
  <si>
    <t>Each about 7.1 ounces = 201.28 grams</t>
  </si>
  <si>
    <t>Grapes (any color)</t>
  </si>
  <si>
    <t>1 cup = 5.76 to 6.4 ounces = 181.44 grams</t>
  </si>
  <si>
    <t>1 cup = 2.5 ounces = 70.87 grams</t>
  </si>
  <si>
    <t>Hershey Kiss</t>
  </si>
  <si>
    <t>Each is 4.55 grams</t>
  </si>
  <si>
    <t>1 cup = 12 ounces = 340 grams</t>
  </si>
  <si>
    <t>1 cup = 7.96 ounces = 225.66 grams</t>
  </si>
  <si>
    <t>1 cup = 1.35 ounces = 38.27 grams</t>
  </si>
  <si>
    <t>Jalapeno</t>
  </si>
  <si>
    <t>1 cup sliced = 90 grams = 3 ounces</t>
  </si>
  <si>
    <t>Each about 1 ounce</t>
  </si>
  <si>
    <t>1 cup = 235 grams = 8.3 ounces</t>
  </si>
  <si>
    <t>1 cup = 8.12712 ounces = 230.4 grams</t>
  </si>
  <si>
    <t>1 dash = 0.75 grams</t>
  </si>
  <si>
    <t>Leeks</t>
  </si>
  <si>
    <t>1 pound = 4 cups chopped = 2 cups cooked</t>
  </si>
  <si>
    <t>Lemon</t>
  </si>
  <si>
    <t>Each about 3.5 ounces = 99.22 grams</t>
  </si>
  <si>
    <t>1 cup = 6.1 ounces = 172.93 grams</t>
  </si>
  <si>
    <t>Lemongrass</t>
  </si>
  <si>
    <t>Each Stalk about 0.5 ounces = 14.17 grams</t>
  </si>
  <si>
    <t>1 cup = 8.5363 ounces = 242 grams</t>
  </si>
  <si>
    <t>About 5 limes/pound</t>
  </si>
  <si>
    <t>1 cup = 8.46575 ounces = 240 grams = 4.5 large eggs</t>
  </si>
  <si>
    <t>0.5 cup = 4.232875 ounces = 120 grams = 2.25 large eggs</t>
  </si>
  <si>
    <t>0.25 cup = 2.1164375 ounces = 60 grams = 1.125 large eggs</t>
  </si>
  <si>
    <t>2 cups = 16.9315 ounces = 480 grams = 9 large eggs</t>
  </si>
  <si>
    <t>1 Carton = 2 pounds</t>
  </si>
  <si>
    <t>Marjoram</t>
  </si>
  <si>
    <t>1 cup = 0.95945 ounces = 27.2 grams</t>
  </si>
  <si>
    <t>1 cup = 8.11 ounces = 229.91 grams</t>
  </si>
  <si>
    <t>1 cup = 8.64212 ounces = 245 grams</t>
  </si>
  <si>
    <t>Mini Marshmallows</t>
  </si>
  <si>
    <t>1 cup = 50 grams</t>
  </si>
  <si>
    <t>Mint</t>
  </si>
  <si>
    <t>1 cup = 30 grams</t>
  </si>
  <si>
    <t>Molasses</t>
  </si>
  <si>
    <t>1 pound = 5 to 6 cups sliced = 2 cups cooked</t>
  </si>
  <si>
    <t>1 cup = 2.67 ounces = 75.69 grams</t>
  </si>
  <si>
    <t>1 pint = 473.19 grams</t>
  </si>
  <si>
    <t>1 cup = 8.78322 ounces = 249 grams</t>
  </si>
  <si>
    <t>1 tsp = 0.19 ounces</t>
  </si>
  <si>
    <t>Mustard - ground</t>
  </si>
  <si>
    <t>Nectarine</t>
  </si>
  <si>
    <t>1 cup = 5.04418 ounces = 143 grams</t>
  </si>
  <si>
    <t>1 cup = 3.95068 ounces = 112 grams</t>
  </si>
  <si>
    <t>Oats</t>
  </si>
  <si>
    <t>1 cup = 81 grams (per USDA)</t>
  </si>
  <si>
    <t>Oil (Canola, Corn, Grapeseed)</t>
  </si>
  <si>
    <t>1 cup = 7.90137 ounces = 224 grams</t>
  </si>
  <si>
    <t>1 cup = 213 grams</t>
  </si>
  <si>
    <t>1 cup cooked = 226.8 grams = 8 ounces</t>
  </si>
  <si>
    <t>1 cup raw sliced = 4 ounces = 113.4 grams</t>
  </si>
  <si>
    <t>1 cup raw diced = 7.40753 ounces</t>
  </si>
  <si>
    <t>1 quart = 907.2 grams</t>
  </si>
  <si>
    <t>Each - small is 1-2" diameter = 2.46 ounces = 69.74 grams</t>
  </si>
  <si>
    <t>Each - medium is 2-3" diameter = 3.88 ounces = 110 grams</t>
  </si>
  <si>
    <t>Each - large is 3-3.5" diameter = 5.29 ounces = 150 grams</t>
  </si>
  <si>
    <t>1 pound = 4 cups sliced raw = 2 cups cooked</t>
  </si>
  <si>
    <t>1 cup = 3.89425 ounces = 110.4 grams</t>
  </si>
  <si>
    <t>Orange</t>
  </si>
  <si>
    <t>1 medium orange = 4.62 ounces = 131 grams</t>
  </si>
  <si>
    <t>1 cup = 9.24178 ounces = 262 grams</t>
  </si>
  <si>
    <t>1 cup = 3.05 ounces = 86.47 grams</t>
  </si>
  <si>
    <t>Panko Breadcrumbs</t>
  </si>
  <si>
    <t>1 cup = 2.96 ounces = 83.91 grams</t>
  </si>
  <si>
    <t>Paprika (Hungarian and Spanish)</t>
  </si>
  <si>
    <t>1 cup = 3.83781 ounces = 108.8 grams</t>
  </si>
  <si>
    <t>Parmesan - shredded</t>
  </si>
  <si>
    <t>1 cup = 80 grams = 2.82192 ounces</t>
  </si>
  <si>
    <t>Parsley - Fresh</t>
  </si>
  <si>
    <t>1 cup = 2.11644 ounces = 60 grams</t>
  </si>
  <si>
    <t>Parsley Flakes</t>
  </si>
  <si>
    <t>Parsnips</t>
  </si>
  <si>
    <t>1 pound unpeeled = 1.5 cups cooked and pureed</t>
  </si>
  <si>
    <t>1 cup = 9.03013 ounces = 256 grams</t>
  </si>
  <si>
    <t>Peas - fresh</t>
  </si>
  <si>
    <t>1 pound whole = 1 to 1.5 cups shelled</t>
  </si>
  <si>
    <t>Peas - frozen</t>
  </si>
  <si>
    <t>1 cup = 128 grams</t>
  </si>
  <si>
    <t>Pickle Chip</t>
  </si>
  <si>
    <t>Each about 6.74 grams</t>
  </si>
  <si>
    <t>1 serving (3) = 2.25 grams</t>
  </si>
  <si>
    <t>Pickle Relish</t>
  </si>
  <si>
    <t>Pizza Sauce (Recipe 410)</t>
  </si>
  <si>
    <t>1 cup = 8.89 ounces</t>
  </si>
  <si>
    <t>1 cup = 5.12 ounces = 145.15 grams</t>
  </si>
  <si>
    <t>1 Tbsp = 0.32 ounces</t>
  </si>
  <si>
    <t>Medium is 2-3" diameter = 5-8 ounces</t>
  </si>
  <si>
    <t>Large is 3-4.25" diameter = 8-10 ounces</t>
  </si>
  <si>
    <t>1 pound (3 medium) sliced = 2 cups mashed</t>
  </si>
  <si>
    <t>Potato - baking</t>
  </si>
  <si>
    <t>Each about 163 grams</t>
  </si>
  <si>
    <t>Potato - Red - medium</t>
  </si>
  <si>
    <t>Each about 148 grams</t>
  </si>
  <si>
    <t>1 cup = 220 grams</t>
  </si>
  <si>
    <t>Potato - Sweet</t>
  </si>
  <si>
    <t>Each about 113 grams</t>
  </si>
  <si>
    <t>1 pound = 4 cups grated = 1 cup cooked and pureed</t>
  </si>
  <si>
    <t>1 cup = 2.48329 ounces = 70.4 grams</t>
  </si>
  <si>
    <t>1 cup = 125 grams</t>
  </si>
  <si>
    <t>3 ounces makes 1 quart (32 ounces) reconstituted milk</t>
  </si>
  <si>
    <t>1 cup = 127.57 grams = 4.5 ounces</t>
  </si>
  <si>
    <t>Pumpkin (fresh)</t>
  </si>
  <si>
    <t>1 pound = 4 cups chopped = 2 cups cooked and drained</t>
  </si>
  <si>
    <t>Radish</t>
  </si>
  <si>
    <t>1 cup = 4.09178 ounces = 116 grams</t>
  </si>
  <si>
    <t>Raisin</t>
  </si>
  <si>
    <t>1 cup = 5.11472 ounces = 145 grams</t>
  </si>
  <si>
    <t>1 cup = 11.28767 ounces = 320 grams</t>
  </si>
  <si>
    <t>1 cup = 4.06356 ounces = 115.2 grams</t>
  </si>
  <si>
    <t>1 cup = 8.43048 ounces = 239 grams</t>
  </si>
  <si>
    <t>Rice - uncooked</t>
  </si>
  <si>
    <t>1 cup = 7 ounces = 198.45 grams</t>
  </si>
  <si>
    <t>1 cup uncooked rice makes 3 cups cooked rice</t>
  </si>
  <si>
    <t>Rice Krispies</t>
  </si>
  <si>
    <t>1 cup = 0.7 ounces = 20 grams</t>
  </si>
  <si>
    <t>Romaine Lettuce</t>
  </si>
  <si>
    <t>1 cup = 1.65788 ounces = 47 grams</t>
  </si>
  <si>
    <t>1 cup actual = 1/2 cup for meal contribution</t>
  </si>
  <si>
    <t>1 cup = 1.86247 ounces = 52.8 grams</t>
  </si>
  <si>
    <t>Sage</t>
  </si>
  <si>
    <t>1 cup = 1.12877 ounces = 32 grams</t>
  </si>
  <si>
    <t>1 cup = 9.17 ounces = 260 grams</t>
  </si>
  <si>
    <t>1 cup = 10.3 ounces = 292 grams</t>
  </si>
  <si>
    <t>1 cup = 7.67561 ounces = 217.6 grams</t>
  </si>
  <si>
    <t>Sesame Seeds</t>
  </si>
  <si>
    <t>1 cup = 4.8 ounces</t>
  </si>
  <si>
    <t>Sour Cream</t>
  </si>
  <si>
    <t>1 cup = 8.4 ounces = 238.13 grams</t>
  </si>
  <si>
    <t>Soy Sauce</t>
  </si>
  <si>
    <t>1 pound = 0.75 to 1 cup cooked</t>
  </si>
  <si>
    <t>1 cup = 2 ounces = 56.7 grams</t>
  </si>
  <si>
    <t>1 cup = 1.49914 ounces = 42.5 grams</t>
  </si>
  <si>
    <t>Squash - yellow</t>
  </si>
  <si>
    <t>Each about 9.6 ounces</t>
  </si>
  <si>
    <t>Squash - Zucchini</t>
  </si>
  <si>
    <t>Each about 7 ounces</t>
  </si>
  <si>
    <t>Squash (summer)</t>
  </si>
  <si>
    <t>1 pound = 4 cups grated = 2 cups salted and drained</t>
  </si>
  <si>
    <t>Squash (winter)</t>
  </si>
  <si>
    <t>2 pounds = 2.5 cups cooked and pureed</t>
  </si>
  <si>
    <t>Strawberries</t>
  </si>
  <si>
    <t>1 pound = 3.75 cups whole berries</t>
  </si>
  <si>
    <t>1 cup = 0.267 pounds = 4.272 ounces = 121.11 grams</t>
  </si>
  <si>
    <t>Sunflower Seeds</t>
  </si>
  <si>
    <t>1 cup = 4.51507 ounces</t>
  </si>
  <si>
    <t>Sweet Chili Sauce</t>
  </si>
  <si>
    <t>1 cup = 9.31233 ounces = 264 grams</t>
  </si>
  <si>
    <t>Swiss Chard</t>
  </si>
  <si>
    <t>1 pound = 5 to 6 cups packed leaves = 1 to 1.5 cups cooked</t>
  </si>
  <si>
    <t>Syrup</t>
  </si>
  <si>
    <t>1 cup = 2.42685 ounces = 68.8 grams</t>
  </si>
  <si>
    <t>Tomato - Roma</t>
  </si>
  <si>
    <t>Each about 2 ounces</t>
  </si>
  <si>
    <t>Tomato  Sauce</t>
  </si>
  <si>
    <t>1 cup = 8.64 ounces = 244.94 grams</t>
  </si>
  <si>
    <t>#10 can = 111 ounces = 3146.8 grams</t>
  </si>
  <si>
    <t>1 cup = 225 grams = 7.93648 ounces</t>
  </si>
  <si>
    <t>1 pound (3 or 4 medium) = 1.5 cups seeded pulp</t>
  </si>
  <si>
    <t>1 cup sliced = 0.4 pounds</t>
  </si>
  <si>
    <t>1 ounce = about 20 slices</t>
  </si>
  <si>
    <t>1 slice about 0.05 ounces = 1.42 grams</t>
  </si>
  <si>
    <t>1 cup = 5.3052 ounces = 150.4 grams</t>
  </si>
  <si>
    <t>Turnips</t>
  </si>
  <si>
    <t>1 pound = 4 cups chopped = 2 cups cooked and mashed</t>
  </si>
  <si>
    <t>1 Tbsp = 13 grams</t>
  </si>
  <si>
    <t>Walnut Pieces</t>
  </si>
  <si>
    <t>1 cup = 4.06 ounces = 115.1 grams</t>
  </si>
  <si>
    <t>1 cup = 8.3952 ounces = 238 grams</t>
  </si>
  <si>
    <t>1 cup = 120 grams (per USDA) = 4.23 ounces</t>
  </si>
  <si>
    <t>1 cup = 9.7 ounces = 275 grams</t>
  </si>
  <si>
    <t>Yogurt</t>
  </si>
  <si>
    <t>1 cup = 8.8 ounces = 249.47 grams</t>
  </si>
  <si>
    <t>Kiwi</t>
  </si>
  <si>
    <t>1 kiwi = 148 grams (1/2 cup serving)</t>
  </si>
  <si>
    <t>Strawberries (whole)</t>
  </si>
  <si>
    <t>1 cup = 5.36164 ounces = 152 grams</t>
  </si>
  <si>
    <t>Clementine</t>
  </si>
  <si>
    <t>Each = 1.76 ounces</t>
  </si>
  <si>
    <t>Pear</t>
  </si>
  <si>
    <t>Each = 9.5 ounces</t>
  </si>
  <si>
    <t>Chocolate Chips</t>
  </si>
  <si>
    <t>1 cup = 8.46575 ounces</t>
  </si>
  <si>
    <t>1 cup = 5.07945 ounces = 144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</si>
</sst>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$&quot;#,##0.00"/>
    <numFmt numFmtId="168" formatCode="_(&quot;$&quot;* #,##0.000_);_(&quot;$&quot;* \(#,##0.000\);_(&quot;$&quot;* &quot;-&quot;???_);_(@_)"/>
    <numFmt numFmtId="169" formatCode="_(&quot;$&quot;* #,##0.000000_);_(&quot;$&quot;* \(#,##0.000000\);_(&quot;$&quot;* &quot;-&quot;??????_);_(@_)"/>
    <numFmt numFmtId="171" formatCode="_(&quot;$&quot;* #,##0.0000_);_(&quot;$&quot;* \(#,##0.0000\);_(&quot;$&quot;* &quot;-&quot;??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Calibri"/>
      <family val="2"/>
    </font>
    <font>
      <i/>
      <sz val="11"/>
      <color rgb="FFC00000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8"/>
      <color theme="1"/>
      <name val="Arial"/>
      <family val="2"/>
    </font>
    <font>
      <sz val="10"/>
      <color rgb="FFC00000"/>
      <name val="Arial"/>
      <family val="2"/>
    </font>
    <font>
      <sz val="10"/>
      <name val="Calibri"/>
      <family val="2"/>
    </font>
    <font>
      <sz val="6"/>
      <color rgb="FF585246"/>
      <name val="Inherit"/>
    </font>
    <font>
      <sz val="7"/>
      <color theme="1"/>
      <name val="Arial"/>
      <family val="2"/>
    </font>
    <font>
      <sz val="14"/>
      <color rgb="FFFF0000"/>
      <name val="Arial"/>
      <family val="2"/>
    </font>
    <font>
      <b/>
      <u/>
      <sz val="11.35"/>
      <color theme="1"/>
      <name val="Arial"/>
      <family val="2"/>
    </font>
    <font>
      <sz val="10.3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0.3"/>
      <color theme="1"/>
      <name val="Calibri"/>
      <family val="2"/>
    </font>
    <font>
      <sz val="10.6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Arial"/>
    </font>
    <font>
      <sz val="12"/>
      <color theme="1"/>
      <name val="Arial"/>
      <family val="2"/>
    </font>
    <font>
      <sz val="11"/>
      <color theme="1"/>
      <name val="Arial"/>
    </font>
    <font>
      <b/>
      <sz val="16"/>
      <color theme="1"/>
      <name val="Arial"/>
    </font>
    <font>
      <sz val="18"/>
      <color theme="1"/>
      <name val="Arial"/>
    </font>
    <font>
      <b/>
      <sz val="11"/>
      <color theme="1"/>
      <name val="Arial"/>
    </font>
    <font>
      <sz val="14"/>
      <color rgb="FFFF0000"/>
      <name val="Arial"/>
    </font>
    <font>
      <sz val="10"/>
      <color theme="1"/>
      <name val="Arial"/>
    </font>
    <font>
      <sz val="9"/>
      <color theme="1"/>
      <name val="Arial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wrapText="1"/>
    </xf>
    <xf numFmtId="0" fontId="0" fillId="2" borderId="0" xfId="0" applyFill="1"/>
    <xf numFmtId="0" fontId="6" fillId="0" borderId="0" xfId="0" applyFont="1"/>
    <xf numFmtId="0" fontId="3" fillId="0" borderId="0" xfId="0" applyFont="1" applyAlignment="1"/>
    <xf numFmtId="0" fontId="1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5" fillId="0" borderId="4" xfId="0" applyFont="1" applyBorder="1" applyAlignment="1"/>
    <xf numFmtId="0" fontId="5" fillId="0" borderId="8" xfId="0" applyFont="1" applyBorder="1" applyAlignment="1"/>
    <xf numFmtId="0" fontId="11" fillId="0" borderId="4" xfId="0" applyFont="1" applyBorder="1" applyAlignment="1"/>
    <xf numFmtId="0" fontId="5" fillId="0" borderId="10" xfId="0" applyFont="1" applyBorder="1" applyAlignment="1"/>
    <xf numFmtId="0" fontId="5" fillId="0" borderId="5" xfId="0" applyFont="1" applyBorder="1" applyAlignment="1"/>
    <xf numFmtId="0" fontId="11" fillId="0" borderId="8" xfId="0" applyFont="1" applyBorder="1" applyAlignment="1"/>
    <xf numFmtId="0" fontId="14" fillId="2" borderId="0" xfId="0" applyFont="1" applyFill="1"/>
    <xf numFmtId="0" fontId="0" fillId="0" borderId="0" xfId="0" applyFill="1"/>
    <xf numFmtId="0" fontId="7" fillId="0" borderId="0" xfId="0" applyFont="1" applyFill="1"/>
    <xf numFmtId="12" fontId="0" fillId="0" borderId="0" xfId="0" applyNumberFormat="1" applyFill="1"/>
    <xf numFmtId="1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6" fillId="0" borderId="0" xfId="0" applyFont="1"/>
    <xf numFmtId="0" fontId="19" fillId="2" borderId="0" xfId="0" applyFont="1" applyFill="1"/>
    <xf numFmtId="0" fontId="5" fillId="0" borderId="0" xfId="0" applyFont="1" applyFill="1"/>
    <xf numFmtId="0" fontId="1" fillId="0" borderId="0" xfId="0" applyFont="1" applyFill="1"/>
    <xf numFmtId="0" fontId="0" fillId="2" borderId="0" xfId="0" applyFont="1" applyFill="1"/>
    <xf numFmtId="0" fontId="10" fillId="0" borderId="0" xfId="0" applyFont="1" applyFill="1"/>
    <xf numFmtId="0" fontId="1" fillId="2" borderId="0" xfId="0" applyFont="1" applyFill="1" applyAlignment="1"/>
    <xf numFmtId="0" fontId="12" fillId="0" borderId="0" xfId="0" applyFont="1" applyAlignment="1"/>
    <xf numFmtId="49" fontId="0" fillId="0" borderId="0" xfId="0" applyNumberForma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0" fontId="5" fillId="0" borderId="23" xfId="0" applyFont="1" applyBorder="1" applyAlignment="1"/>
    <xf numFmtId="49" fontId="5" fillId="0" borderId="3" xfId="0" applyNumberFormat="1" applyFont="1" applyBorder="1"/>
    <xf numFmtId="49" fontId="5" fillId="0" borderId="23" xfId="0" applyNumberFormat="1" applyFont="1" applyBorder="1"/>
    <xf numFmtId="49" fontId="5" fillId="0" borderId="23" xfId="0" applyNumberFormat="1" applyFont="1" applyBorder="1" applyAlignment="1">
      <alignment wrapText="1"/>
    </xf>
    <xf numFmtId="49" fontId="5" fillId="0" borderId="23" xfId="0" applyNumberFormat="1" applyFont="1" applyBorder="1" applyAlignment="1"/>
    <xf numFmtId="0" fontId="5" fillId="0" borderId="3" xfId="0" applyFont="1" applyBorder="1"/>
    <xf numFmtId="0" fontId="0" fillId="0" borderId="23" xfId="0" applyBorder="1"/>
    <xf numFmtId="49" fontId="5" fillId="0" borderId="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49" fontId="5" fillId="2" borderId="22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wrapText="1"/>
    </xf>
    <xf numFmtId="49" fontId="5" fillId="2" borderId="22" xfId="0" applyNumberFormat="1" applyFont="1" applyFill="1" applyBorder="1" applyAlignment="1">
      <alignment vertical="center" wrapText="1"/>
    </xf>
    <xf numFmtId="0" fontId="0" fillId="2" borderId="23" xfId="0" applyFill="1" applyBorder="1"/>
    <xf numFmtId="0" fontId="5" fillId="2" borderId="23" xfId="0" applyFont="1" applyFill="1" applyBorder="1" applyAlignment="1"/>
    <xf numFmtId="49" fontId="5" fillId="2" borderId="23" xfId="0" applyNumberFormat="1" applyFont="1" applyFill="1" applyBorder="1"/>
    <xf numFmtId="0" fontId="5" fillId="2" borderId="23" xfId="0" applyFont="1" applyFill="1" applyBorder="1"/>
    <xf numFmtId="49" fontId="5" fillId="2" borderId="23" xfId="0" applyNumberFormat="1" applyFont="1" applyFill="1" applyBorder="1" applyAlignment="1">
      <alignment wrapText="1"/>
    </xf>
    <xf numFmtId="49" fontId="5" fillId="2" borderId="23" xfId="0" applyNumberFormat="1" applyFont="1" applyFill="1" applyBorder="1" applyAlignment="1"/>
    <xf numFmtId="0" fontId="5" fillId="2" borderId="22" xfId="0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0" fontId="32" fillId="0" borderId="0" xfId="0" applyFont="1" applyAlignment="1">
      <alignment horizontal="left" vertical="center" wrapText="1" indent="1"/>
    </xf>
    <xf numFmtId="49" fontId="5" fillId="2" borderId="23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22" xfId="0" applyBorder="1"/>
    <xf numFmtId="0" fontId="5" fillId="2" borderId="23" xfId="0" applyFont="1" applyFill="1" applyBorder="1" applyAlignment="1">
      <alignment horizontal="left" vertical="center"/>
    </xf>
    <xf numFmtId="0" fontId="5" fillId="2" borderId="22" xfId="0" applyFont="1" applyFill="1" applyBorder="1"/>
    <xf numFmtId="0" fontId="0" fillId="2" borderId="22" xfId="0" applyFill="1" applyBorder="1"/>
    <xf numFmtId="49" fontId="34" fillId="0" borderId="0" xfId="0" applyNumberFormat="1" applyFont="1" applyAlignment="1">
      <alignment horizontal="right"/>
    </xf>
    <xf numFmtId="0" fontId="14" fillId="0" borderId="0" xfId="0" applyFont="1" applyFill="1"/>
    <xf numFmtId="49" fontId="5" fillId="0" borderId="0" xfId="0" applyNumberFormat="1" applyFont="1" applyAlignment="1"/>
    <xf numFmtId="0" fontId="0" fillId="0" borderId="0" xfId="0" applyAlignment="1"/>
    <xf numFmtId="0" fontId="0" fillId="0" borderId="20" xfId="0" applyBorder="1"/>
    <xf numFmtId="0" fontId="5" fillId="0" borderId="1" xfId="0" applyFont="1" applyBorder="1" applyAlignment="1">
      <alignment vertical="center" wrapText="1"/>
    </xf>
    <xf numFmtId="0" fontId="5" fillId="0" borderId="22" xfId="0" applyFont="1" applyBorder="1"/>
    <xf numFmtId="0" fontId="5" fillId="2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0" xfId="0" applyFont="1"/>
    <xf numFmtId="0" fontId="5" fillId="0" borderId="0" xfId="0" applyFont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2" borderId="0" xfId="0" applyFont="1" applyFill="1" applyBorder="1"/>
    <xf numFmtId="0" fontId="0" fillId="2" borderId="0" xfId="0" applyFill="1" applyBorder="1"/>
    <xf numFmtId="44" fontId="0" fillId="0" borderId="0" xfId="0" applyNumberFormat="1"/>
    <xf numFmtId="44" fontId="41" fillId="0" borderId="0" xfId="0" applyNumberFormat="1" applyFont="1"/>
    <xf numFmtId="44" fontId="42" fillId="0" borderId="0" xfId="0" applyNumberFormat="1" applyFont="1"/>
    <xf numFmtId="0" fontId="7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41" fillId="0" borderId="0" xfId="0" applyNumberFormat="1" applyFont="1"/>
    <xf numFmtId="0" fontId="2" fillId="0" borderId="0" xfId="0" applyFont="1" applyAlignment="1"/>
    <xf numFmtId="44" fontId="0" fillId="0" borderId="0" xfId="0" applyNumberFormat="1" applyFont="1"/>
    <xf numFmtId="0" fontId="43" fillId="0" borderId="0" xfId="0" applyFont="1"/>
    <xf numFmtId="165" fontId="41" fillId="0" borderId="0" xfId="0" applyNumberFormat="1" applyFont="1"/>
    <xf numFmtId="44" fontId="0" fillId="0" borderId="0" xfId="0" applyNumberFormat="1" applyFill="1"/>
    <xf numFmtId="44" fontId="41" fillId="0" borderId="0" xfId="0" applyNumberFormat="1" applyFont="1" applyFill="1"/>
    <xf numFmtId="164" fontId="0" fillId="0" borderId="0" xfId="0" applyNumberFormat="1" applyFill="1"/>
    <xf numFmtId="0" fontId="14" fillId="0" borderId="5" xfId="0" applyFont="1" applyBorder="1" applyAlignment="1">
      <alignment horizontal="center" vertical="center" wrapText="1"/>
    </xf>
    <xf numFmtId="166" fontId="41" fillId="0" borderId="0" xfId="0" applyNumberFormat="1" applyFont="1"/>
    <xf numFmtId="44" fontId="5" fillId="0" borderId="0" xfId="0" applyNumberFormat="1" applyFont="1" applyAlignment="1"/>
    <xf numFmtId="167" fontId="5" fillId="0" borderId="0" xfId="0" applyNumberFormat="1" applyFont="1" applyAlignment="1">
      <alignment wrapText="1"/>
    </xf>
    <xf numFmtId="164" fontId="42" fillId="0" borderId="0" xfId="0" applyNumberFormat="1" applyFont="1"/>
    <xf numFmtId="0" fontId="0" fillId="3" borderId="0" xfId="0" applyFill="1"/>
    <xf numFmtId="0" fontId="5" fillId="0" borderId="23" xfId="0" applyFont="1" applyBorder="1" applyAlignment="1">
      <alignment horizontal="left" vertical="center"/>
    </xf>
    <xf numFmtId="0" fontId="1" fillId="3" borderId="0" xfId="0" applyFont="1" applyFill="1"/>
    <xf numFmtId="49" fontId="5" fillId="2" borderId="2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43" xfId="0" applyBorder="1"/>
    <xf numFmtId="0" fontId="0" fillId="0" borderId="34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7" fillId="0" borderId="43" xfId="0" applyFont="1" applyBorder="1"/>
    <xf numFmtId="0" fontId="7" fillId="0" borderId="0" xfId="0" applyFont="1" applyBorder="1"/>
    <xf numFmtId="0" fontId="7" fillId="0" borderId="34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168" fontId="42" fillId="0" borderId="0" xfId="0" applyNumberFormat="1" applyFont="1"/>
    <xf numFmtId="44" fontId="7" fillId="0" borderId="0" xfId="0" applyNumberFormat="1" applyFont="1"/>
    <xf numFmtId="164" fontId="0" fillId="0" borderId="0" xfId="0" applyNumberFormat="1" applyFont="1"/>
    <xf numFmtId="0" fontId="5" fillId="3" borderId="0" xfId="0" applyFont="1" applyFill="1"/>
    <xf numFmtId="171" fontId="0" fillId="0" borderId="0" xfId="0" applyNumberFormat="1"/>
    <xf numFmtId="171" fontId="42" fillId="0" borderId="0" xfId="0" applyNumberFormat="1" applyFont="1"/>
    <xf numFmtId="0" fontId="5" fillId="0" borderId="34" xfId="0" applyFont="1" applyBorder="1"/>
    <xf numFmtId="0" fontId="5" fillId="0" borderId="46" xfId="0" applyFont="1" applyBorder="1"/>
    <xf numFmtId="0" fontId="5" fillId="0" borderId="45" xfId="0" applyFont="1" applyBorder="1"/>
    <xf numFmtId="49" fontId="5" fillId="2" borderId="43" xfId="0" applyNumberFormat="1" applyFont="1" applyFill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49" fontId="5" fillId="2" borderId="43" xfId="0" applyNumberFormat="1" applyFont="1" applyFill="1" applyBorder="1"/>
    <xf numFmtId="49" fontId="5" fillId="0" borderId="43" xfId="0" applyNumberFormat="1" applyFont="1" applyBorder="1"/>
    <xf numFmtId="49" fontId="5" fillId="0" borderId="44" xfId="0" applyNumberFormat="1" applyFont="1" applyBorder="1"/>
    <xf numFmtId="0" fontId="5" fillId="2" borderId="34" xfId="0" applyFont="1" applyFill="1" applyBorder="1"/>
    <xf numFmtId="49" fontId="5" fillId="0" borderId="50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/>
    <xf numFmtId="0" fontId="0" fillId="2" borderId="33" xfId="0" applyFill="1" applyBorder="1" applyAlignment="1">
      <alignment vertical="center"/>
    </xf>
    <xf numFmtId="0" fontId="0" fillId="2" borderId="50" xfId="0" applyFill="1" applyBorder="1"/>
    <xf numFmtId="49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/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165" fontId="0" fillId="0" borderId="0" xfId="0" applyNumberFormat="1" applyFont="1"/>
    <xf numFmtId="0" fontId="1" fillId="0" borderId="51" xfId="0" applyFont="1" applyBorder="1" applyAlignment="1">
      <alignment horizontal="center" vertical="center"/>
    </xf>
    <xf numFmtId="0" fontId="46" fillId="0" borderId="0" xfId="0" applyFont="1"/>
    <xf numFmtId="0" fontId="46" fillId="3" borderId="0" xfId="0" applyFont="1" applyFill="1"/>
    <xf numFmtId="0" fontId="47" fillId="0" borderId="0" xfId="0" applyFont="1"/>
    <xf numFmtId="0" fontId="49" fillId="0" borderId="0" xfId="0" applyFont="1"/>
    <xf numFmtId="49" fontId="50" fillId="0" borderId="0" xfId="0" applyNumberFormat="1" applyFont="1" applyAlignment="1">
      <alignment horizontal="right"/>
    </xf>
    <xf numFmtId="0" fontId="44" fillId="0" borderId="0" xfId="0" applyFont="1"/>
    <xf numFmtId="49" fontId="51" fillId="0" borderId="0" xfId="0" applyNumberFormat="1" applyFont="1" applyAlignment="1">
      <alignment wrapText="1"/>
    </xf>
    <xf numFmtId="0" fontId="46" fillId="2" borderId="0" xfId="0" applyFont="1" applyFill="1"/>
    <xf numFmtId="0" fontId="51" fillId="0" borderId="0" xfId="0" applyFont="1"/>
    <xf numFmtId="49" fontId="51" fillId="0" borderId="0" xfId="0" applyNumberFormat="1" applyFont="1"/>
    <xf numFmtId="0" fontId="46" fillId="0" borderId="10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2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12" fontId="5" fillId="2" borderId="0" xfId="0" applyNumberFormat="1" applyFont="1" applyFill="1" applyAlignment="1">
      <alignment horizontal="center"/>
    </xf>
    <xf numFmtId="12" fontId="5" fillId="3" borderId="0" xfId="0" applyNumberFormat="1" applyFont="1" applyFill="1" applyAlignment="1">
      <alignment horizontal="center"/>
    </xf>
    <xf numFmtId="12" fontId="5" fillId="0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12" fontId="51" fillId="2" borderId="0" xfId="0" applyNumberFormat="1" applyFont="1" applyFill="1" applyAlignment="1">
      <alignment horizontal="center"/>
    </xf>
    <xf numFmtId="12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2" fontId="5" fillId="0" borderId="0" xfId="0" applyNumberFormat="1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4" fillId="2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" fillId="2" borderId="0" xfId="0" applyNumberFormat="1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2" fontId="5" fillId="2" borderId="0" xfId="0" applyNumberFormat="1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7" fillId="0" borderId="4" xfId="0" applyFont="1" applyBorder="1" applyAlignment="1">
      <alignment horizontal="center" vertical="center"/>
    </xf>
    <xf numFmtId="12" fontId="5" fillId="3" borderId="0" xfId="0" applyNumberFormat="1" applyFont="1" applyFill="1" applyAlignment="1">
      <alignment horizontal="center"/>
    </xf>
    <xf numFmtId="12" fontId="5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3" borderId="25" xfId="0" applyFont="1" applyFill="1" applyBorder="1" applyAlignment="1">
      <alignment horizontal="center"/>
    </xf>
    <xf numFmtId="12" fontId="14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2" fontId="51" fillId="2" borderId="0" xfId="0" applyNumberFormat="1" applyFont="1" applyFill="1" applyAlignment="1">
      <alignment horizontal="center"/>
    </xf>
    <xf numFmtId="12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</xdr:row>
      <xdr:rowOff>177800</xdr:rowOff>
    </xdr:from>
    <xdr:to>
      <xdr:col>0</xdr:col>
      <xdr:colOff>330200</xdr:colOff>
      <xdr:row>6</xdr:row>
      <xdr:rowOff>114300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CE0AE06C-839A-4040-AE72-EAEE09A376BE}"/>
            </a:ext>
          </a:extLst>
        </xdr:cNvPr>
        <xdr:cNvSpPr/>
      </xdr:nvSpPr>
      <xdr:spPr>
        <a:xfrm>
          <a:off x="6229350" y="1187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3" name="Frame 2">
          <a:extLst>
            <a:ext uri="{FF2B5EF4-FFF2-40B4-BE49-F238E27FC236}">
              <a16:creationId xmlns:a16="http://schemas.microsoft.com/office/drawing/2014/main" id="{374A7B11-FC3B-49F1-8E62-2AD5FD78915F}"/>
            </a:ext>
          </a:extLst>
        </xdr:cNvPr>
        <xdr:cNvSpPr/>
      </xdr:nvSpPr>
      <xdr:spPr>
        <a:xfrm>
          <a:off x="6223000" y="156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F46D0124-9956-43C2-8153-F733ED78CB10}"/>
            </a:ext>
          </a:extLst>
        </xdr:cNvPr>
        <xdr:cNvSpPr/>
      </xdr:nvSpPr>
      <xdr:spPr>
        <a:xfrm>
          <a:off x="6223000" y="193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8B5ED94E-CEA8-49CF-9CB2-37D96F26F852}"/>
            </a:ext>
          </a:extLst>
        </xdr:cNvPr>
        <xdr:cNvSpPr/>
      </xdr:nvSpPr>
      <xdr:spPr>
        <a:xfrm>
          <a:off x="6223000" y="229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F806E37D-9959-4F72-AF7E-6762B8F4C9DC}"/>
            </a:ext>
          </a:extLst>
        </xdr:cNvPr>
        <xdr:cNvSpPr/>
      </xdr:nvSpPr>
      <xdr:spPr>
        <a:xfrm>
          <a:off x="6223000" y="2667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C9CAFBF8-46F0-4D51-BACA-83E530F01069}"/>
            </a:ext>
          </a:extLst>
        </xdr:cNvPr>
        <xdr:cNvSpPr/>
      </xdr:nvSpPr>
      <xdr:spPr>
        <a:xfrm>
          <a:off x="6223000" y="3035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18</xdr:row>
      <xdr:rowOff>120650</xdr:rowOff>
    </xdr:to>
    <xdr:sp macro="" textlink="">
      <xdr:nvSpPr>
        <xdr:cNvPr id="8" name="Frame 7">
          <a:extLst>
            <a:ext uri="{FF2B5EF4-FFF2-40B4-BE49-F238E27FC236}">
              <a16:creationId xmlns:a16="http://schemas.microsoft.com/office/drawing/2014/main" id="{763A62E5-68E6-4756-86E4-BD65C4AE84B1}"/>
            </a:ext>
          </a:extLst>
        </xdr:cNvPr>
        <xdr:cNvSpPr/>
      </xdr:nvSpPr>
      <xdr:spPr>
        <a:xfrm>
          <a:off x="6223000" y="3403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323850</xdr:colOff>
      <xdr:row>20</xdr:row>
      <xdr:rowOff>120650</xdr:rowOff>
    </xdr:to>
    <xdr:sp macro="" textlink="">
      <xdr:nvSpPr>
        <xdr:cNvPr id="9" name="Frame 8">
          <a:extLst>
            <a:ext uri="{FF2B5EF4-FFF2-40B4-BE49-F238E27FC236}">
              <a16:creationId xmlns:a16="http://schemas.microsoft.com/office/drawing/2014/main" id="{26F3F603-3C0F-4787-80F0-E8C967E81928}"/>
            </a:ext>
          </a:extLst>
        </xdr:cNvPr>
        <xdr:cNvSpPr/>
      </xdr:nvSpPr>
      <xdr:spPr>
        <a:xfrm>
          <a:off x="6223000" y="3771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323850</xdr:colOff>
      <xdr:row>22</xdr:row>
      <xdr:rowOff>120650</xdr:rowOff>
    </xdr:to>
    <xdr:sp macro="" textlink="">
      <xdr:nvSpPr>
        <xdr:cNvPr id="10" name="Frame 9">
          <a:extLst>
            <a:ext uri="{FF2B5EF4-FFF2-40B4-BE49-F238E27FC236}">
              <a16:creationId xmlns:a16="http://schemas.microsoft.com/office/drawing/2014/main" id="{A3E868C1-E773-4983-9D38-BF6346F9FE7C}"/>
            </a:ext>
          </a:extLst>
        </xdr:cNvPr>
        <xdr:cNvSpPr/>
      </xdr:nvSpPr>
      <xdr:spPr>
        <a:xfrm>
          <a:off x="6223000" y="4140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323850</xdr:colOff>
      <xdr:row>24</xdr:row>
      <xdr:rowOff>120650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BFD99625-4C1B-486D-AC0C-CAE2A9BDE509}"/>
            </a:ext>
          </a:extLst>
        </xdr:cNvPr>
        <xdr:cNvSpPr/>
      </xdr:nvSpPr>
      <xdr:spPr>
        <a:xfrm>
          <a:off x="6223000" y="4508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323850</xdr:colOff>
      <xdr:row>26</xdr:row>
      <xdr:rowOff>120650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81204FB1-BD81-4F2E-BE12-2257603BDD93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323850</xdr:colOff>
      <xdr:row>28</xdr:row>
      <xdr:rowOff>120650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76E6D6A4-1980-406A-9C49-AA78A2C7EC06}"/>
            </a:ext>
          </a:extLst>
        </xdr:cNvPr>
        <xdr:cNvSpPr/>
      </xdr:nvSpPr>
      <xdr:spPr>
        <a:xfrm>
          <a:off x="0" y="5124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323850</xdr:colOff>
      <xdr:row>44</xdr:row>
      <xdr:rowOff>120650</xdr:rowOff>
    </xdr:to>
    <xdr:sp macro="" textlink="">
      <xdr:nvSpPr>
        <xdr:cNvPr id="16" name="Frame 15">
          <a:extLst>
            <a:ext uri="{FF2B5EF4-FFF2-40B4-BE49-F238E27FC236}">
              <a16:creationId xmlns:a16="http://schemas.microsoft.com/office/drawing/2014/main" id="{D32F5DEC-3795-4409-93C2-5F397BD14A66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323850</xdr:colOff>
      <xdr:row>46</xdr:row>
      <xdr:rowOff>120650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B85ACF5B-6E10-406A-AB72-E5F56973F312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323850</xdr:colOff>
      <xdr:row>48</xdr:row>
      <xdr:rowOff>120650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BE80C079-01C3-408D-8767-290C2DACBA55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323850</xdr:colOff>
      <xdr:row>50</xdr:row>
      <xdr:rowOff>120650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01E727AB-FE57-420E-A176-73421854B997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323850</xdr:colOff>
      <xdr:row>52</xdr:row>
      <xdr:rowOff>120650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3FA05BCF-0333-4D76-B9C7-2E321696B675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323850</xdr:colOff>
      <xdr:row>54</xdr:row>
      <xdr:rowOff>120650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00EA0D9B-9E2F-4819-817A-A89C949D51C0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323850</xdr:colOff>
      <xdr:row>56</xdr:row>
      <xdr:rowOff>120650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7486DDDB-8884-42FA-A4BB-3B28E2AECD32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323850</xdr:colOff>
      <xdr:row>58</xdr:row>
      <xdr:rowOff>120650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EAD6DAC4-52B8-4605-9D54-5FE9D2E1BA73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323850</xdr:colOff>
      <xdr:row>60</xdr:row>
      <xdr:rowOff>146050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E0072FE5-6754-4D41-82E0-184D66B3A048}"/>
            </a:ext>
          </a:extLst>
        </xdr:cNvPr>
        <xdr:cNvSpPr/>
      </xdr:nvSpPr>
      <xdr:spPr>
        <a:xfrm>
          <a:off x="0" y="112077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323850</xdr:colOff>
      <xdr:row>62</xdr:row>
      <xdr:rowOff>171450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D58CF9C8-103B-4BA7-A790-937E10486822}"/>
            </a:ext>
          </a:extLst>
        </xdr:cNvPr>
        <xdr:cNvSpPr/>
      </xdr:nvSpPr>
      <xdr:spPr>
        <a:xfrm>
          <a:off x="0" y="11576050"/>
          <a:ext cx="323850" cy="3556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323850</xdr:colOff>
      <xdr:row>77</xdr:row>
      <xdr:rowOff>120650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BE006D4F-7C00-4FD5-B73E-04D292030FBA}"/>
            </a:ext>
          </a:extLst>
        </xdr:cNvPr>
        <xdr:cNvSpPr/>
      </xdr:nvSpPr>
      <xdr:spPr>
        <a:xfrm>
          <a:off x="0" y="8261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323850</xdr:colOff>
      <xdr:row>79</xdr:row>
      <xdr:rowOff>120650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844E4427-7AB7-492A-861A-A5B154BCF965}"/>
            </a:ext>
          </a:extLst>
        </xdr:cNvPr>
        <xdr:cNvSpPr/>
      </xdr:nvSpPr>
      <xdr:spPr>
        <a:xfrm>
          <a:off x="0" y="8629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323850</xdr:colOff>
      <xdr:row>81</xdr:row>
      <xdr:rowOff>120650</xdr:rowOff>
    </xdr:to>
    <xdr:sp macro="" textlink="">
      <xdr:nvSpPr>
        <xdr:cNvPr id="30" name="Frame 29">
          <a:extLst>
            <a:ext uri="{FF2B5EF4-FFF2-40B4-BE49-F238E27FC236}">
              <a16:creationId xmlns:a16="http://schemas.microsoft.com/office/drawing/2014/main" id="{9E348D3A-4F1E-4B5E-8F10-129E9A684EC8}"/>
            </a:ext>
          </a:extLst>
        </xdr:cNvPr>
        <xdr:cNvSpPr/>
      </xdr:nvSpPr>
      <xdr:spPr>
        <a:xfrm>
          <a:off x="0" y="8997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323850</xdr:colOff>
      <xdr:row>83</xdr:row>
      <xdr:rowOff>120650</xdr:rowOff>
    </xdr:to>
    <xdr:sp macro="" textlink="">
      <xdr:nvSpPr>
        <xdr:cNvPr id="31" name="Frame 30">
          <a:extLst>
            <a:ext uri="{FF2B5EF4-FFF2-40B4-BE49-F238E27FC236}">
              <a16:creationId xmlns:a16="http://schemas.microsoft.com/office/drawing/2014/main" id="{DEF22C4B-A1AE-4AD9-9BE2-3A1E5944C76D}"/>
            </a:ext>
          </a:extLst>
        </xdr:cNvPr>
        <xdr:cNvSpPr/>
      </xdr:nvSpPr>
      <xdr:spPr>
        <a:xfrm>
          <a:off x="0" y="9366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323850</xdr:colOff>
      <xdr:row>85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D0877013-897E-4AD7-A3B8-F705B0DA46D5}"/>
            </a:ext>
          </a:extLst>
        </xdr:cNvPr>
        <xdr:cNvSpPr/>
      </xdr:nvSpPr>
      <xdr:spPr>
        <a:xfrm>
          <a:off x="0" y="973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323850</xdr:colOff>
      <xdr:row>87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BDC1BA44-77DA-4D28-B694-001C3B534EE0}"/>
            </a:ext>
          </a:extLst>
        </xdr:cNvPr>
        <xdr:cNvSpPr/>
      </xdr:nvSpPr>
      <xdr:spPr>
        <a:xfrm>
          <a:off x="0" y="1010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323850</xdr:colOff>
      <xdr:row>89</xdr:row>
      <xdr:rowOff>120650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A414B4EC-C823-48E1-A8D1-BA23FE7048C0}"/>
            </a:ext>
          </a:extLst>
        </xdr:cNvPr>
        <xdr:cNvSpPr/>
      </xdr:nvSpPr>
      <xdr:spPr>
        <a:xfrm>
          <a:off x="0" y="1047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323850</xdr:colOff>
      <xdr:row>91</xdr:row>
      <xdr:rowOff>120650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704F78B6-9D7F-4F73-A239-35E7F955F9FC}"/>
            </a:ext>
          </a:extLst>
        </xdr:cNvPr>
        <xdr:cNvSpPr/>
      </xdr:nvSpPr>
      <xdr:spPr>
        <a:xfrm>
          <a:off x="0" y="1083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323850</xdr:colOff>
      <xdr:row>93</xdr:row>
      <xdr:rowOff>146050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7A22A8EE-3243-4038-B82D-CFAFADF3C677}"/>
            </a:ext>
          </a:extLst>
        </xdr:cNvPr>
        <xdr:cNvSpPr/>
      </xdr:nvSpPr>
      <xdr:spPr>
        <a:xfrm>
          <a:off x="0" y="112077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323850</xdr:colOff>
      <xdr:row>95</xdr:row>
      <xdr:rowOff>146050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2EC9810B-EADA-48E9-972E-B5CF148C4265}"/>
            </a:ext>
          </a:extLst>
        </xdr:cNvPr>
        <xdr:cNvSpPr/>
      </xdr:nvSpPr>
      <xdr:spPr>
        <a:xfrm>
          <a:off x="0" y="178117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323850</xdr:colOff>
      <xdr:row>97</xdr:row>
      <xdr:rowOff>146050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28044703-6246-4390-972A-DCA6408790C0}"/>
            </a:ext>
          </a:extLst>
        </xdr:cNvPr>
        <xdr:cNvSpPr/>
      </xdr:nvSpPr>
      <xdr:spPr>
        <a:xfrm>
          <a:off x="0" y="181800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323850</xdr:colOff>
      <xdr:row>99</xdr:row>
      <xdr:rowOff>146050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4131FA0C-2F06-4D1F-A3FF-9AB437DDF093}"/>
            </a:ext>
          </a:extLst>
        </xdr:cNvPr>
        <xdr:cNvSpPr/>
      </xdr:nvSpPr>
      <xdr:spPr>
        <a:xfrm>
          <a:off x="0" y="185483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323850</xdr:colOff>
      <xdr:row>101</xdr:row>
      <xdr:rowOff>146050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FF18E644-B7B9-4C4A-9324-3BFD3711F5EB}"/>
            </a:ext>
          </a:extLst>
        </xdr:cNvPr>
        <xdr:cNvSpPr/>
      </xdr:nvSpPr>
      <xdr:spPr>
        <a:xfrm>
          <a:off x="0" y="18916650"/>
          <a:ext cx="323850" cy="3302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114</xdr:row>
      <xdr:rowOff>177800</xdr:rowOff>
    </xdr:from>
    <xdr:to>
      <xdr:col>0</xdr:col>
      <xdr:colOff>330200</xdr:colOff>
      <xdr:row>116</xdr:row>
      <xdr:rowOff>114300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94DBCE94-9A18-4294-951B-AE55DC0BB3E0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323850</xdr:colOff>
      <xdr:row>118</xdr:row>
      <xdr:rowOff>120650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429FC714-E5BA-4D8D-854E-7E07F2FAAB52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323850</xdr:colOff>
      <xdr:row>120</xdr:row>
      <xdr:rowOff>120650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BCF0D71C-693D-4B5A-BEDF-966854C8FD5D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146</xdr:row>
      <xdr:rowOff>177800</xdr:rowOff>
    </xdr:from>
    <xdr:to>
      <xdr:col>0</xdr:col>
      <xdr:colOff>330200</xdr:colOff>
      <xdr:row>148</xdr:row>
      <xdr:rowOff>114300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D798AF0F-7DB1-42CB-A262-E35508BB74EA}"/>
            </a:ext>
          </a:extLst>
        </xdr:cNvPr>
        <xdr:cNvSpPr/>
      </xdr:nvSpPr>
      <xdr:spPr>
        <a:xfrm>
          <a:off x="6350" y="2185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323850</xdr:colOff>
      <xdr:row>150</xdr:row>
      <xdr:rowOff>120650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09BA79A2-8278-49C8-B927-6469A12A1B0E}"/>
            </a:ext>
          </a:extLst>
        </xdr:cNvPr>
        <xdr:cNvSpPr/>
      </xdr:nvSpPr>
      <xdr:spPr>
        <a:xfrm>
          <a:off x="0" y="2222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323850</xdr:colOff>
      <xdr:row>152</xdr:row>
      <xdr:rowOff>120650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3A66CC16-BDC0-4D7D-B44F-0AE5070058AD}"/>
            </a:ext>
          </a:extLst>
        </xdr:cNvPr>
        <xdr:cNvSpPr/>
      </xdr:nvSpPr>
      <xdr:spPr>
        <a:xfrm>
          <a:off x="0" y="2682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178</xdr:row>
      <xdr:rowOff>177800</xdr:rowOff>
    </xdr:from>
    <xdr:to>
      <xdr:col>0</xdr:col>
      <xdr:colOff>330200</xdr:colOff>
      <xdr:row>180</xdr:row>
      <xdr:rowOff>114300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76DCED26-E0F4-4A97-9740-46E3AE07E508}"/>
            </a:ext>
          </a:extLst>
        </xdr:cNvPr>
        <xdr:cNvSpPr/>
      </xdr:nvSpPr>
      <xdr:spPr>
        <a:xfrm>
          <a:off x="6350" y="2607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323850</xdr:colOff>
      <xdr:row>182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C64BA892-3CCC-435B-BFDF-97C4BA3F9795}"/>
            </a:ext>
          </a:extLst>
        </xdr:cNvPr>
        <xdr:cNvSpPr/>
      </xdr:nvSpPr>
      <xdr:spPr>
        <a:xfrm>
          <a:off x="0" y="2645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323850</xdr:colOff>
      <xdr:row>184</xdr:row>
      <xdr:rowOff>120650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202CE11E-AFC4-4A24-A2E2-99DD3B76A833}"/>
            </a:ext>
          </a:extLst>
        </xdr:cNvPr>
        <xdr:cNvSpPr/>
      </xdr:nvSpPr>
      <xdr:spPr>
        <a:xfrm>
          <a:off x="0" y="2682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323850</xdr:colOff>
      <xdr:row>186</xdr:row>
      <xdr:rowOff>120650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19ADEC32-504E-44BF-973D-C0453419CE5A}"/>
            </a:ext>
          </a:extLst>
        </xdr:cNvPr>
        <xdr:cNvSpPr/>
      </xdr:nvSpPr>
      <xdr:spPr>
        <a:xfrm>
          <a:off x="0" y="3197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323850</xdr:colOff>
      <xdr:row>188</xdr:row>
      <xdr:rowOff>120650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AFA32505-C89D-48E8-94B4-E9D7A65EB662}"/>
            </a:ext>
          </a:extLst>
        </xdr:cNvPr>
        <xdr:cNvSpPr/>
      </xdr:nvSpPr>
      <xdr:spPr>
        <a:xfrm>
          <a:off x="0" y="3234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323850</xdr:colOff>
      <xdr:row>190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D5D7C7FF-11DC-4528-AC85-2C8B2D6A585A}"/>
            </a:ext>
          </a:extLst>
        </xdr:cNvPr>
        <xdr:cNvSpPr/>
      </xdr:nvSpPr>
      <xdr:spPr>
        <a:xfrm>
          <a:off x="0" y="3270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209</xdr:row>
      <xdr:rowOff>177800</xdr:rowOff>
    </xdr:from>
    <xdr:to>
      <xdr:col>0</xdr:col>
      <xdr:colOff>330200</xdr:colOff>
      <xdr:row>211</xdr:row>
      <xdr:rowOff>114300</xdr:rowOff>
    </xdr:to>
    <xdr:sp macro="" textlink="">
      <xdr:nvSpPr>
        <xdr:cNvPr id="69" name="Frame 68">
          <a:extLst>
            <a:ext uri="{FF2B5EF4-FFF2-40B4-BE49-F238E27FC236}">
              <a16:creationId xmlns:a16="http://schemas.microsoft.com/office/drawing/2014/main" id="{03EE67E3-94E2-4E3D-96A0-1B64D51C22E1}"/>
            </a:ext>
          </a:extLst>
        </xdr:cNvPr>
        <xdr:cNvSpPr/>
      </xdr:nvSpPr>
      <xdr:spPr>
        <a:xfrm>
          <a:off x="6350" y="2607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0</xdr:col>
      <xdr:colOff>323850</xdr:colOff>
      <xdr:row>213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9767D2AF-2631-435E-BB55-A036FFA86D1F}"/>
            </a:ext>
          </a:extLst>
        </xdr:cNvPr>
        <xdr:cNvSpPr/>
      </xdr:nvSpPr>
      <xdr:spPr>
        <a:xfrm>
          <a:off x="0" y="2645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323850</xdr:colOff>
      <xdr:row>215</xdr:row>
      <xdr:rowOff>120650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E408CE83-876E-420F-ABA7-4D51E5AB6F77}"/>
            </a:ext>
          </a:extLst>
        </xdr:cNvPr>
        <xdr:cNvSpPr/>
      </xdr:nvSpPr>
      <xdr:spPr>
        <a:xfrm>
          <a:off x="0" y="2682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323850</xdr:colOff>
      <xdr:row>217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0042BE19-086D-4A7F-B4AF-8C84362C28BF}"/>
            </a:ext>
          </a:extLst>
        </xdr:cNvPr>
        <xdr:cNvSpPr/>
      </xdr:nvSpPr>
      <xdr:spPr>
        <a:xfrm>
          <a:off x="0" y="3749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241</xdr:row>
      <xdr:rowOff>177800</xdr:rowOff>
    </xdr:from>
    <xdr:to>
      <xdr:col>0</xdr:col>
      <xdr:colOff>330200</xdr:colOff>
      <xdr:row>243</xdr:row>
      <xdr:rowOff>114300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0634D80A-0C6A-4752-B721-C9A8EE707C1B}"/>
            </a:ext>
          </a:extLst>
        </xdr:cNvPr>
        <xdr:cNvSpPr/>
      </xdr:nvSpPr>
      <xdr:spPr>
        <a:xfrm>
          <a:off x="6350" y="36379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323850</xdr:colOff>
      <xdr:row>245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6C3FECBB-CFB1-4C7D-AFA2-7A77211B8425}"/>
            </a:ext>
          </a:extLst>
        </xdr:cNvPr>
        <xdr:cNvSpPr/>
      </xdr:nvSpPr>
      <xdr:spPr>
        <a:xfrm>
          <a:off x="0" y="36753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323850</xdr:colOff>
      <xdr:row>247</xdr:row>
      <xdr:rowOff>120650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2F998AEE-7210-450F-A655-A37537911C56}"/>
            </a:ext>
          </a:extLst>
        </xdr:cNvPr>
        <xdr:cNvSpPr/>
      </xdr:nvSpPr>
      <xdr:spPr>
        <a:xfrm>
          <a:off x="0" y="3712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0</xdr:col>
      <xdr:colOff>323850</xdr:colOff>
      <xdr:row>249</xdr:row>
      <xdr:rowOff>120650</xdr:rowOff>
    </xdr:to>
    <xdr:sp macro="" textlink="">
      <xdr:nvSpPr>
        <xdr:cNvPr id="76" name="Frame 75">
          <a:extLst>
            <a:ext uri="{FF2B5EF4-FFF2-40B4-BE49-F238E27FC236}">
              <a16:creationId xmlns:a16="http://schemas.microsoft.com/office/drawing/2014/main" id="{42523F64-7000-42AC-B1C3-2B7D4F171BA2}"/>
            </a:ext>
          </a:extLst>
        </xdr:cNvPr>
        <xdr:cNvSpPr/>
      </xdr:nvSpPr>
      <xdr:spPr>
        <a:xfrm>
          <a:off x="0" y="3749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0</xdr:col>
      <xdr:colOff>323850</xdr:colOff>
      <xdr:row>251</xdr:row>
      <xdr:rowOff>120650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2886B96A-7840-4A94-80DD-842858275E49}"/>
            </a:ext>
          </a:extLst>
        </xdr:cNvPr>
        <xdr:cNvSpPr/>
      </xdr:nvSpPr>
      <xdr:spPr>
        <a:xfrm>
          <a:off x="0" y="4264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0</xdr:col>
      <xdr:colOff>323850</xdr:colOff>
      <xdr:row>253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8772ACE5-6BEB-430E-84FD-A640351DE8CD}"/>
            </a:ext>
          </a:extLst>
        </xdr:cNvPr>
        <xdr:cNvSpPr/>
      </xdr:nvSpPr>
      <xdr:spPr>
        <a:xfrm>
          <a:off x="0" y="4300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269</xdr:row>
      <xdr:rowOff>177800</xdr:rowOff>
    </xdr:from>
    <xdr:to>
      <xdr:col>0</xdr:col>
      <xdr:colOff>330200</xdr:colOff>
      <xdr:row>271</xdr:row>
      <xdr:rowOff>114300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EB429F39-3510-45E0-A204-0021A5B113D6}"/>
            </a:ext>
          </a:extLst>
        </xdr:cNvPr>
        <xdr:cNvSpPr/>
      </xdr:nvSpPr>
      <xdr:spPr>
        <a:xfrm>
          <a:off x="6350" y="4116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B55A622E-F622-46C0-A408-45362A82B0E0}"/>
            </a:ext>
          </a:extLst>
        </xdr:cNvPr>
        <xdr:cNvSpPr/>
      </xdr:nvSpPr>
      <xdr:spPr>
        <a:xfrm>
          <a:off x="0" y="4153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323850</xdr:colOff>
      <xdr:row>275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13E4BAC5-36AA-45FA-84D5-0F2944E73454}"/>
            </a:ext>
          </a:extLst>
        </xdr:cNvPr>
        <xdr:cNvSpPr/>
      </xdr:nvSpPr>
      <xdr:spPr>
        <a:xfrm>
          <a:off x="0" y="4190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276</xdr:row>
      <xdr:rowOff>0</xdr:rowOff>
    </xdr:from>
    <xdr:to>
      <xdr:col>0</xdr:col>
      <xdr:colOff>323850</xdr:colOff>
      <xdr:row>277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60E21EFC-B342-4F1E-864A-892ECE134D5E}"/>
            </a:ext>
          </a:extLst>
        </xdr:cNvPr>
        <xdr:cNvSpPr/>
      </xdr:nvSpPr>
      <xdr:spPr>
        <a:xfrm>
          <a:off x="0" y="4227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278</xdr:row>
      <xdr:rowOff>0</xdr:rowOff>
    </xdr:from>
    <xdr:to>
      <xdr:col>0</xdr:col>
      <xdr:colOff>323850</xdr:colOff>
      <xdr:row>279</xdr:row>
      <xdr:rowOff>120650</xdr:rowOff>
    </xdr:to>
    <xdr:sp macro="" textlink="">
      <xdr:nvSpPr>
        <xdr:cNvPr id="84" name="Frame 83">
          <a:extLst>
            <a:ext uri="{FF2B5EF4-FFF2-40B4-BE49-F238E27FC236}">
              <a16:creationId xmlns:a16="http://schemas.microsoft.com/office/drawing/2014/main" id="{05B4DFF8-701F-4E72-9C44-3C071706558D}"/>
            </a:ext>
          </a:extLst>
        </xdr:cNvPr>
        <xdr:cNvSpPr/>
      </xdr:nvSpPr>
      <xdr:spPr>
        <a:xfrm>
          <a:off x="0" y="4264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280</xdr:row>
      <xdr:rowOff>0</xdr:rowOff>
    </xdr:from>
    <xdr:to>
      <xdr:col>0</xdr:col>
      <xdr:colOff>323850</xdr:colOff>
      <xdr:row>281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D6305DB2-2B13-4734-BD24-2E72B25171D7}"/>
            </a:ext>
          </a:extLst>
        </xdr:cNvPr>
        <xdr:cNvSpPr/>
      </xdr:nvSpPr>
      <xdr:spPr>
        <a:xfrm>
          <a:off x="0" y="4300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0</xdr:col>
      <xdr:colOff>323850</xdr:colOff>
      <xdr:row>283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7F8DC5F5-CD51-479F-A678-2A12758D4153}"/>
            </a:ext>
          </a:extLst>
        </xdr:cNvPr>
        <xdr:cNvSpPr/>
      </xdr:nvSpPr>
      <xdr:spPr>
        <a:xfrm>
          <a:off x="0" y="48710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297</xdr:row>
      <xdr:rowOff>177800</xdr:rowOff>
    </xdr:from>
    <xdr:to>
      <xdr:col>0</xdr:col>
      <xdr:colOff>330200</xdr:colOff>
      <xdr:row>299</xdr:row>
      <xdr:rowOff>114300</xdr:rowOff>
    </xdr:to>
    <xdr:sp macro="" textlink="">
      <xdr:nvSpPr>
        <xdr:cNvPr id="87" name="Frame 86">
          <a:extLst>
            <a:ext uri="{FF2B5EF4-FFF2-40B4-BE49-F238E27FC236}">
              <a16:creationId xmlns:a16="http://schemas.microsoft.com/office/drawing/2014/main" id="{E69A87F8-37C9-4429-AF19-C1538F9CE07A}"/>
            </a:ext>
          </a:extLst>
        </xdr:cNvPr>
        <xdr:cNvSpPr/>
      </xdr:nvSpPr>
      <xdr:spPr>
        <a:xfrm>
          <a:off x="6350" y="4649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323850</xdr:colOff>
      <xdr:row>301</xdr:row>
      <xdr:rowOff>120650</xdr:rowOff>
    </xdr:to>
    <xdr:sp macro="" textlink="">
      <xdr:nvSpPr>
        <xdr:cNvPr id="88" name="Frame 87">
          <a:extLst>
            <a:ext uri="{FF2B5EF4-FFF2-40B4-BE49-F238E27FC236}">
              <a16:creationId xmlns:a16="http://schemas.microsoft.com/office/drawing/2014/main" id="{6E5405FC-CEEE-45C5-8797-4D29F726980B}"/>
            </a:ext>
          </a:extLst>
        </xdr:cNvPr>
        <xdr:cNvSpPr/>
      </xdr:nvSpPr>
      <xdr:spPr>
        <a:xfrm>
          <a:off x="0" y="46869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0</xdr:col>
      <xdr:colOff>323850</xdr:colOff>
      <xdr:row>303</xdr:row>
      <xdr:rowOff>120650</xdr:rowOff>
    </xdr:to>
    <xdr:sp macro="" textlink="">
      <xdr:nvSpPr>
        <xdr:cNvPr id="89" name="Frame 88">
          <a:extLst>
            <a:ext uri="{FF2B5EF4-FFF2-40B4-BE49-F238E27FC236}">
              <a16:creationId xmlns:a16="http://schemas.microsoft.com/office/drawing/2014/main" id="{3E814999-79A0-4F18-8DA5-38CF4BFAD6F2}"/>
            </a:ext>
          </a:extLst>
        </xdr:cNvPr>
        <xdr:cNvSpPr/>
      </xdr:nvSpPr>
      <xdr:spPr>
        <a:xfrm>
          <a:off x="0" y="4723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304</xdr:row>
      <xdr:rowOff>0</xdr:rowOff>
    </xdr:from>
    <xdr:to>
      <xdr:col>0</xdr:col>
      <xdr:colOff>323850</xdr:colOff>
      <xdr:row>305</xdr:row>
      <xdr:rowOff>120650</xdr:rowOff>
    </xdr:to>
    <xdr:sp macro="" textlink="">
      <xdr:nvSpPr>
        <xdr:cNvPr id="90" name="Frame 89">
          <a:extLst>
            <a:ext uri="{FF2B5EF4-FFF2-40B4-BE49-F238E27FC236}">
              <a16:creationId xmlns:a16="http://schemas.microsoft.com/office/drawing/2014/main" id="{F73DFF4B-3728-4E74-A0E5-04E611EA810B}"/>
            </a:ext>
          </a:extLst>
        </xdr:cNvPr>
        <xdr:cNvSpPr/>
      </xdr:nvSpPr>
      <xdr:spPr>
        <a:xfrm>
          <a:off x="0" y="4760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0</xdr:col>
      <xdr:colOff>323850</xdr:colOff>
      <xdr:row>307</xdr:row>
      <xdr:rowOff>120650</xdr:rowOff>
    </xdr:to>
    <xdr:sp macro="" textlink="">
      <xdr:nvSpPr>
        <xdr:cNvPr id="91" name="Frame 90">
          <a:extLst>
            <a:ext uri="{FF2B5EF4-FFF2-40B4-BE49-F238E27FC236}">
              <a16:creationId xmlns:a16="http://schemas.microsoft.com/office/drawing/2014/main" id="{2D118F5A-995B-46D9-B31F-650EE02677FA}"/>
            </a:ext>
          </a:extLst>
        </xdr:cNvPr>
        <xdr:cNvSpPr/>
      </xdr:nvSpPr>
      <xdr:spPr>
        <a:xfrm>
          <a:off x="0" y="4797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308</xdr:row>
      <xdr:rowOff>0</xdr:rowOff>
    </xdr:from>
    <xdr:to>
      <xdr:col>0</xdr:col>
      <xdr:colOff>323850</xdr:colOff>
      <xdr:row>309</xdr:row>
      <xdr:rowOff>120650</xdr:rowOff>
    </xdr:to>
    <xdr:sp macro="" textlink="">
      <xdr:nvSpPr>
        <xdr:cNvPr id="92" name="Frame 91">
          <a:extLst>
            <a:ext uri="{FF2B5EF4-FFF2-40B4-BE49-F238E27FC236}">
              <a16:creationId xmlns:a16="http://schemas.microsoft.com/office/drawing/2014/main" id="{1B4A27C7-9E1C-46EB-A3A0-5FF33E72924E}"/>
            </a:ext>
          </a:extLst>
        </xdr:cNvPr>
        <xdr:cNvSpPr/>
      </xdr:nvSpPr>
      <xdr:spPr>
        <a:xfrm>
          <a:off x="0" y="4834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323850</xdr:colOff>
      <xdr:row>311</xdr:row>
      <xdr:rowOff>120650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E1A7BB1A-3102-4685-9C18-922EDB603743}"/>
            </a:ext>
          </a:extLst>
        </xdr:cNvPr>
        <xdr:cNvSpPr/>
      </xdr:nvSpPr>
      <xdr:spPr>
        <a:xfrm>
          <a:off x="0" y="48710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325</xdr:row>
      <xdr:rowOff>177800</xdr:rowOff>
    </xdr:from>
    <xdr:to>
      <xdr:col>0</xdr:col>
      <xdr:colOff>330200</xdr:colOff>
      <xdr:row>327</xdr:row>
      <xdr:rowOff>114300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6D3C58C3-478E-49FA-9402-34B8F016BAD4}"/>
            </a:ext>
          </a:extLst>
        </xdr:cNvPr>
        <xdr:cNvSpPr/>
      </xdr:nvSpPr>
      <xdr:spPr>
        <a:xfrm>
          <a:off x="6350" y="5164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323850</xdr:colOff>
      <xdr:row>329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B3E75740-891B-41B4-8E30-4F6EF5A3D7C9}"/>
            </a:ext>
          </a:extLst>
        </xdr:cNvPr>
        <xdr:cNvSpPr/>
      </xdr:nvSpPr>
      <xdr:spPr>
        <a:xfrm>
          <a:off x="0" y="5201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346</xdr:row>
      <xdr:rowOff>177800</xdr:rowOff>
    </xdr:from>
    <xdr:to>
      <xdr:col>0</xdr:col>
      <xdr:colOff>330200</xdr:colOff>
      <xdr:row>348</xdr:row>
      <xdr:rowOff>114300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A143F00F-D339-457B-8BA2-A808612970E9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323850</xdr:colOff>
      <xdr:row>350</xdr:row>
      <xdr:rowOff>120650</xdr:rowOff>
    </xdr:to>
    <xdr:sp macro="" textlink="">
      <xdr:nvSpPr>
        <xdr:cNvPr id="102" name="Frame 101">
          <a:extLst>
            <a:ext uri="{FF2B5EF4-FFF2-40B4-BE49-F238E27FC236}">
              <a16:creationId xmlns:a16="http://schemas.microsoft.com/office/drawing/2014/main" id="{EAFE8843-4403-47CC-A398-09D1B3537267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0</xdr:col>
      <xdr:colOff>323850</xdr:colOff>
      <xdr:row>352</xdr:row>
      <xdr:rowOff>120650</xdr:rowOff>
    </xdr:to>
    <xdr:sp macro="" textlink="">
      <xdr:nvSpPr>
        <xdr:cNvPr id="103" name="Frame 102">
          <a:extLst>
            <a:ext uri="{FF2B5EF4-FFF2-40B4-BE49-F238E27FC236}">
              <a16:creationId xmlns:a16="http://schemas.microsoft.com/office/drawing/2014/main" id="{DDE4137D-C4B5-4FE6-AEE8-BC329FEFC051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0</xdr:col>
      <xdr:colOff>323850</xdr:colOff>
      <xdr:row>354</xdr:row>
      <xdr:rowOff>120650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5D3E33F2-099D-4CB2-AAE9-026A5012D888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0</xdr:col>
      <xdr:colOff>323850</xdr:colOff>
      <xdr:row>356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783A57D0-A0C2-4EA0-96A6-7FB45FBF28CF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0</xdr:col>
      <xdr:colOff>323850</xdr:colOff>
      <xdr:row>358</xdr:row>
      <xdr:rowOff>120650</xdr:rowOff>
    </xdr:to>
    <xdr:sp macro="" textlink="">
      <xdr:nvSpPr>
        <xdr:cNvPr id="106" name="Frame 105">
          <a:extLst>
            <a:ext uri="{FF2B5EF4-FFF2-40B4-BE49-F238E27FC236}">
              <a16:creationId xmlns:a16="http://schemas.microsoft.com/office/drawing/2014/main" id="{4922289B-58C7-4493-9953-3C4659A732FC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359</xdr:row>
      <xdr:rowOff>0</xdr:rowOff>
    </xdr:from>
    <xdr:to>
      <xdr:col>0</xdr:col>
      <xdr:colOff>323850</xdr:colOff>
      <xdr:row>360</xdr:row>
      <xdr:rowOff>120650</xdr:rowOff>
    </xdr:to>
    <xdr:sp macro="" textlink="">
      <xdr:nvSpPr>
        <xdr:cNvPr id="107" name="Frame 106">
          <a:extLst>
            <a:ext uri="{FF2B5EF4-FFF2-40B4-BE49-F238E27FC236}">
              <a16:creationId xmlns:a16="http://schemas.microsoft.com/office/drawing/2014/main" id="{3D98827E-CEB1-468F-9605-69D84C952861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0</xdr:col>
      <xdr:colOff>323850</xdr:colOff>
      <xdr:row>362</xdr:row>
      <xdr:rowOff>120650</xdr:rowOff>
    </xdr:to>
    <xdr:sp macro="" textlink="">
      <xdr:nvSpPr>
        <xdr:cNvPr id="108" name="Frame 107">
          <a:extLst>
            <a:ext uri="{FF2B5EF4-FFF2-40B4-BE49-F238E27FC236}">
              <a16:creationId xmlns:a16="http://schemas.microsoft.com/office/drawing/2014/main" id="{497DAAD2-71AB-4C96-9D9F-2F1C08AE10D1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323850</xdr:colOff>
      <xdr:row>364</xdr:row>
      <xdr:rowOff>120650</xdr:rowOff>
    </xdr:to>
    <xdr:sp macro="" textlink="">
      <xdr:nvSpPr>
        <xdr:cNvPr id="109" name="Frame 108">
          <a:extLst>
            <a:ext uri="{FF2B5EF4-FFF2-40B4-BE49-F238E27FC236}">
              <a16:creationId xmlns:a16="http://schemas.microsoft.com/office/drawing/2014/main" id="{F94D1F14-E4AA-4172-BF4A-2F45DCBE424A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0</xdr:col>
      <xdr:colOff>323850</xdr:colOff>
      <xdr:row>366</xdr:row>
      <xdr:rowOff>120650</xdr:rowOff>
    </xdr:to>
    <xdr:sp macro="" textlink="">
      <xdr:nvSpPr>
        <xdr:cNvPr id="110" name="Frame 109">
          <a:extLst>
            <a:ext uri="{FF2B5EF4-FFF2-40B4-BE49-F238E27FC236}">
              <a16:creationId xmlns:a16="http://schemas.microsoft.com/office/drawing/2014/main" id="{ACF8819A-D6B7-44BC-8672-8AB19A7930E6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367</xdr:row>
      <xdr:rowOff>0</xdr:rowOff>
    </xdr:from>
    <xdr:to>
      <xdr:col>0</xdr:col>
      <xdr:colOff>323850</xdr:colOff>
      <xdr:row>368</xdr:row>
      <xdr:rowOff>120650</xdr:rowOff>
    </xdr:to>
    <xdr:sp macro="" textlink="">
      <xdr:nvSpPr>
        <xdr:cNvPr id="111" name="Frame 110">
          <a:extLst>
            <a:ext uri="{FF2B5EF4-FFF2-40B4-BE49-F238E27FC236}">
              <a16:creationId xmlns:a16="http://schemas.microsoft.com/office/drawing/2014/main" id="{B1DE44F8-4255-4BEC-92F7-7030DDEBF3BB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391</xdr:row>
      <xdr:rowOff>177800</xdr:rowOff>
    </xdr:from>
    <xdr:to>
      <xdr:col>0</xdr:col>
      <xdr:colOff>330200</xdr:colOff>
      <xdr:row>393</xdr:row>
      <xdr:rowOff>114300</xdr:rowOff>
    </xdr:to>
    <xdr:sp macro="" textlink="">
      <xdr:nvSpPr>
        <xdr:cNvPr id="113" name="Frame 112">
          <a:extLst>
            <a:ext uri="{FF2B5EF4-FFF2-40B4-BE49-F238E27FC236}">
              <a16:creationId xmlns:a16="http://schemas.microsoft.com/office/drawing/2014/main" id="{A88AC871-A62D-4649-9333-86E9B136BDAC}"/>
            </a:ext>
          </a:extLst>
        </xdr:cNvPr>
        <xdr:cNvSpPr/>
      </xdr:nvSpPr>
      <xdr:spPr>
        <a:xfrm>
          <a:off x="6350" y="2185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0</xdr:col>
      <xdr:colOff>323850</xdr:colOff>
      <xdr:row>395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A4AFC3A5-5268-42AB-BCC1-9317887E15AF}"/>
            </a:ext>
          </a:extLst>
        </xdr:cNvPr>
        <xdr:cNvSpPr/>
      </xdr:nvSpPr>
      <xdr:spPr>
        <a:xfrm>
          <a:off x="0" y="2222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422</xdr:row>
      <xdr:rowOff>177800</xdr:rowOff>
    </xdr:from>
    <xdr:to>
      <xdr:col>0</xdr:col>
      <xdr:colOff>330200</xdr:colOff>
      <xdr:row>424</xdr:row>
      <xdr:rowOff>114300</xdr:rowOff>
    </xdr:to>
    <xdr:sp macro="" textlink="">
      <xdr:nvSpPr>
        <xdr:cNvPr id="117" name="Frame 116">
          <a:extLst>
            <a:ext uri="{FF2B5EF4-FFF2-40B4-BE49-F238E27FC236}">
              <a16:creationId xmlns:a16="http://schemas.microsoft.com/office/drawing/2014/main" id="{1478D5B4-8A8C-4A7E-9935-1E2D83D54695}"/>
            </a:ext>
          </a:extLst>
        </xdr:cNvPr>
        <xdr:cNvSpPr/>
      </xdr:nvSpPr>
      <xdr:spPr>
        <a:xfrm>
          <a:off x="6350" y="6047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0</xdr:col>
      <xdr:colOff>323850</xdr:colOff>
      <xdr:row>426</xdr:row>
      <xdr:rowOff>120650</xdr:rowOff>
    </xdr:to>
    <xdr:sp macro="" textlink="">
      <xdr:nvSpPr>
        <xdr:cNvPr id="118" name="Frame 117">
          <a:extLst>
            <a:ext uri="{FF2B5EF4-FFF2-40B4-BE49-F238E27FC236}">
              <a16:creationId xmlns:a16="http://schemas.microsoft.com/office/drawing/2014/main" id="{FCBFCDF8-AD8D-49D0-95F5-698D4D47DA87}"/>
            </a:ext>
          </a:extLst>
        </xdr:cNvPr>
        <xdr:cNvSpPr/>
      </xdr:nvSpPr>
      <xdr:spPr>
        <a:xfrm>
          <a:off x="0" y="6084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427</xdr:row>
      <xdr:rowOff>0</xdr:rowOff>
    </xdr:from>
    <xdr:to>
      <xdr:col>0</xdr:col>
      <xdr:colOff>323850</xdr:colOff>
      <xdr:row>428</xdr:row>
      <xdr:rowOff>120650</xdr:rowOff>
    </xdr:to>
    <xdr:sp macro="" textlink="">
      <xdr:nvSpPr>
        <xdr:cNvPr id="119" name="Frame 118">
          <a:extLst>
            <a:ext uri="{FF2B5EF4-FFF2-40B4-BE49-F238E27FC236}">
              <a16:creationId xmlns:a16="http://schemas.microsoft.com/office/drawing/2014/main" id="{F0FBE52A-E48C-4F6C-8242-5CC5FADA8FFE}"/>
            </a:ext>
          </a:extLst>
        </xdr:cNvPr>
        <xdr:cNvSpPr/>
      </xdr:nvSpPr>
      <xdr:spPr>
        <a:xfrm>
          <a:off x="0" y="6121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429</xdr:row>
      <xdr:rowOff>0</xdr:rowOff>
    </xdr:from>
    <xdr:to>
      <xdr:col>0</xdr:col>
      <xdr:colOff>323850</xdr:colOff>
      <xdr:row>430</xdr:row>
      <xdr:rowOff>120650</xdr:rowOff>
    </xdr:to>
    <xdr:sp macro="" textlink="">
      <xdr:nvSpPr>
        <xdr:cNvPr id="120" name="Frame 119">
          <a:extLst>
            <a:ext uri="{FF2B5EF4-FFF2-40B4-BE49-F238E27FC236}">
              <a16:creationId xmlns:a16="http://schemas.microsoft.com/office/drawing/2014/main" id="{32507B78-4E31-4468-863F-9B652A7031BC}"/>
            </a:ext>
          </a:extLst>
        </xdr:cNvPr>
        <xdr:cNvSpPr/>
      </xdr:nvSpPr>
      <xdr:spPr>
        <a:xfrm>
          <a:off x="0" y="6158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431</xdr:row>
      <xdr:rowOff>0</xdr:rowOff>
    </xdr:from>
    <xdr:to>
      <xdr:col>0</xdr:col>
      <xdr:colOff>323850</xdr:colOff>
      <xdr:row>432</xdr:row>
      <xdr:rowOff>120650</xdr:rowOff>
    </xdr:to>
    <xdr:sp macro="" textlink="">
      <xdr:nvSpPr>
        <xdr:cNvPr id="121" name="Frame 120">
          <a:extLst>
            <a:ext uri="{FF2B5EF4-FFF2-40B4-BE49-F238E27FC236}">
              <a16:creationId xmlns:a16="http://schemas.microsoft.com/office/drawing/2014/main" id="{6AD6FD24-D7DD-4138-9872-BCCC56557455}"/>
            </a:ext>
          </a:extLst>
        </xdr:cNvPr>
        <xdr:cNvSpPr/>
      </xdr:nvSpPr>
      <xdr:spPr>
        <a:xfrm>
          <a:off x="0" y="6195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323850</xdr:colOff>
      <xdr:row>434</xdr:row>
      <xdr:rowOff>120650</xdr:rowOff>
    </xdr:to>
    <xdr:sp macro="" textlink="">
      <xdr:nvSpPr>
        <xdr:cNvPr id="122" name="Frame 121">
          <a:extLst>
            <a:ext uri="{FF2B5EF4-FFF2-40B4-BE49-F238E27FC236}">
              <a16:creationId xmlns:a16="http://schemas.microsoft.com/office/drawing/2014/main" id="{78D52B7D-0647-4817-A697-56039A9270C3}"/>
            </a:ext>
          </a:extLst>
        </xdr:cNvPr>
        <xdr:cNvSpPr/>
      </xdr:nvSpPr>
      <xdr:spPr>
        <a:xfrm>
          <a:off x="0" y="6231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450</xdr:row>
      <xdr:rowOff>177800</xdr:rowOff>
    </xdr:from>
    <xdr:to>
      <xdr:col>0</xdr:col>
      <xdr:colOff>330200</xdr:colOff>
      <xdr:row>452</xdr:row>
      <xdr:rowOff>114300</xdr:rowOff>
    </xdr:to>
    <xdr:sp macro="" textlink="">
      <xdr:nvSpPr>
        <xdr:cNvPr id="128" name="Frame 127">
          <a:extLst>
            <a:ext uri="{FF2B5EF4-FFF2-40B4-BE49-F238E27FC236}">
              <a16:creationId xmlns:a16="http://schemas.microsoft.com/office/drawing/2014/main" id="{8BD0BE25-2DF3-45FC-ADD9-5123A06A6D66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453</xdr:row>
      <xdr:rowOff>0</xdr:rowOff>
    </xdr:from>
    <xdr:to>
      <xdr:col>0</xdr:col>
      <xdr:colOff>323850</xdr:colOff>
      <xdr:row>454</xdr:row>
      <xdr:rowOff>120650</xdr:rowOff>
    </xdr:to>
    <xdr:sp macro="" textlink="">
      <xdr:nvSpPr>
        <xdr:cNvPr id="129" name="Frame 128">
          <a:extLst>
            <a:ext uri="{FF2B5EF4-FFF2-40B4-BE49-F238E27FC236}">
              <a16:creationId xmlns:a16="http://schemas.microsoft.com/office/drawing/2014/main" id="{3162B195-5513-4AC3-858C-D07B906AA5F7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455</xdr:row>
      <xdr:rowOff>0</xdr:rowOff>
    </xdr:from>
    <xdr:to>
      <xdr:col>0</xdr:col>
      <xdr:colOff>323850</xdr:colOff>
      <xdr:row>456</xdr:row>
      <xdr:rowOff>120650</xdr:rowOff>
    </xdr:to>
    <xdr:sp macro="" textlink="">
      <xdr:nvSpPr>
        <xdr:cNvPr id="130" name="Frame 129">
          <a:extLst>
            <a:ext uri="{FF2B5EF4-FFF2-40B4-BE49-F238E27FC236}">
              <a16:creationId xmlns:a16="http://schemas.microsoft.com/office/drawing/2014/main" id="{DA9C1CE4-57FB-4852-AD3D-AA8C1E51B826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457</xdr:row>
      <xdr:rowOff>0</xdr:rowOff>
    </xdr:from>
    <xdr:to>
      <xdr:col>0</xdr:col>
      <xdr:colOff>323850</xdr:colOff>
      <xdr:row>458</xdr:row>
      <xdr:rowOff>120650</xdr:rowOff>
    </xdr:to>
    <xdr:sp macro="" textlink="">
      <xdr:nvSpPr>
        <xdr:cNvPr id="131" name="Frame 130">
          <a:extLst>
            <a:ext uri="{FF2B5EF4-FFF2-40B4-BE49-F238E27FC236}">
              <a16:creationId xmlns:a16="http://schemas.microsoft.com/office/drawing/2014/main" id="{0525326F-B014-489A-BC76-BAE5AEB3E47A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323850</xdr:colOff>
      <xdr:row>460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8D19C297-9AAF-43B6-96D6-83D76851A088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461</xdr:row>
      <xdr:rowOff>0</xdr:rowOff>
    </xdr:from>
    <xdr:to>
      <xdr:col>0</xdr:col>
      <xdr:colOff>323850</xdr:colOff>
      <xdr:row>462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8FC24F24-74D8-43B0-A2CB-83916378F57C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0</xdr:col>
      <xdr:colOff>323850</xdr:colOff>
      <xdr:row>464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C4A897E1-F4F8-41B4-8EFA-8CE3F96BB6B9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323850</xdr:colOff>
      <xdr:row>466</xdr:row>
      <xdr:rowOff>120650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16FFD4E4-42FF-45C5-8F82-7C915DDB9A22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467</xdr:row>
      <xdr:rowOff>0</xdr:rowOff>
    </xdr:from>
    <xdr:to>
      <xdr:col>0</xdr:col>
      <xdr:colOff>323850</xdr:colOff>
      <xdr:row>468</xdr:row>
      <xdr:rowOff>120650</xdr:rowOff>
    </xdr:to>
    <xdr:sp macro="" textlink="">
      <xdr:nvSpPr>
        <xdr:cNvPr id="136" name="Frame 135">
          <a:extLst>
            <a:ext uri="{FF2B5EF4-FFF2-40B4-BE49-F238E27FC236}">
              <a16:creationId xmlns:a16="http://schemas.microsoft.com/office/drawing/2014/main" id="{4357BB9C-26B4-4F9C-B704-69DA1C78DB0C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469</xdr:row>
      <xdr:rowOff>0</xdr:rowOff>
    </xdr:from>
    <xdr:to>
      <xdr:col>0</xdr:col>
      <xdr:colOff>323850</xdr:colOff>
      <xdr:row>470</xdr:row>
      <xdr:rowOff>120650</xdr:rowOff>
    </xdr:to>
    <xdr:sp macro="" textlink="">
      <xdr:nvSpPr>
        <xdr:cNvPr id="137" name="Frame 136">
          <a:extLst>
            <a:ext uri="{FF2B5EF4-FFF2-40B4-BE49-F238E27FC236}">
              <a16:creationId xmlns:a16="http://schemas.microsoft.com/office/drawing/2014/main" id="{E68D231C-91C4-445C-8AA6-2AE726D45426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471</xdr:row>
      <xdr:rowOff>0</xdr:rowOff>
    </xdr:from>
    <xdr:to>
      <xdr:col>0</xdr:col>
      <xdr:colOff>323850</xdr:colOff>
      <xdr:row>472</xdr:row>
      <xdr:rowOff>120650</xdr:rowOff>
    </xdr:to>
    <xdr:sp macro="" textlink="">
      <xdr:nvSpPr>
        <xdr:cNvPr id="138" name="Frame 137">
          <a:extLst>
            <a:ext uri="{FF2B5EF4-FFF2-40B4-BE49-F238E27FC236}">
              <a16:creationId xmlns:a16="http://schemas.microsoft.com/office/drawing/2014/main" id="{82AC3196-7819-4E79-8517-471C97C1ECF2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473</xdr:row>
      <xdr:rowOff>0</xdr:rowOff>
    </xdr:from>
    <xdr:to>
      <xdr:col>0</xdr:col>
      <xdr:colOff>323850</xdr:colOff>
      <xdr:row>474</xdr:row>
      <xdr:rowOff>120650</xdr:rowOff>
    </xdr:to>
    <xdr:sp macro="" textlink="">
      <xdr:nvSpPr>
        <xdr:cNvPr id="140" name="Frame 139">
          <a:extLst>
            <a:ext uri="{FF2B5EF4-FFF2-40B4-BE49-F238E27FC236}">
              <a16:creationId xmlns:a16="http://schemas.microsoft.com/office/drawing/2014/main" id="{39B2A5A5-7D17-49E2-AE06-41006AF914F2}"/>
            </a:ext>
          </a:extLst>
        </xdr:cNvPr>
        <xdr:cNvSpPr/>
      </xdr:nvSpPr>
      <xdr:spPr>
        <a:xfrm>
          <a:off x="0" y="8053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475</xdr:row>
      <xdr:rowOff>0</xdr:rowOff>
    </xdr:from>
    <xdr:to>
      <xdr:col>0</xdr:col>
      <xdr:colOff>323850</xdr:colOff>
      <xdr:row>476</xdr:row>
      <xdr:rowOff>120650</xdr:rowOff>
    </xdr:to>
    <xdr:sp macro="" textlink="">
      <xdr:nvSpPr>
        <xdr:cNvPr id="141" name="Frame 140">
          <a:extLst>
            <a:ext uri="{FF2B5EF4-FFF2-40B4-BE49-F238E27FC236}">
              <a16:creationId xmlns:a16="http://schemas.microsoft.com/office/drawing/2014/main" id="{1075FDDA-91EF-44C8-975A-20628A07F3E4}"/>
            </a:ext>
          </a:extLst>
        </xdr:cNvPr>
        <xdr:cNvSpPr/>
      </xdr:nvSpPr>
      <xdr:spPr>
        <a:xfrm>
          <a:off x="0" y="8089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498</xdr:row>
      <xdr:rowOff>177800</xdr:rowOff>
    </xdr:from>
    <xdr:to>
      <xdr:col>0</xdr:col>
      <xdr:colOff>330200</xdr:colOff>
      <xdr:row>500</xdr:row>
      <xdr:rowOff>114300</xdr:rowOff>
    </xdr:to>
    <xdr:sp macro="" textlink="">
      <xdr:nvSpPr>
        <xdr:cNvPr id="142" name="Frame 141">
          <a:extLst>
            <a:ext uri="{FF2B5EF4-FFF2-40B4-BE49-F238E27FC236}">
              <a16:creationId xmlns:a16="http://schemas.microsoft.com/office/drawing/2014/main" id="{D3DD49EE-8F43-4B4C-A9B0-EE7C2DF7BA7C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323850</xdr:colOff>
      <xdr:row>502</xdr:row>
      <xdr:rowOff>120650</xdr:rowOff>
    </xdr:to>
    <xdr:sp macro="" textlink="">
      <xdr:nvSpPr>
        <xdr:cNvPr id="143" name="Frame 142">
          <a:extLst>
            <a:ext uri="{FF2B5EF4-FFF2-40B4-BE49-F238E27FC236}">
              <a16:creationId xmlns:a16="http://schemas.microsoft.com/office/drawing/2014/main" id="{E2A3E692-2CE6-4433-BFF0-72D548BDB556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323850</xdr:colOff>
      <xdr:row>504</xdr:row>
      <xdr:rowOff>120650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1FBC7BF0-B13C-4C3C-9B89-18C78B9138B7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505</xdr:row>
      <xdr:rowOff>0</xdr:rowOff>
    </xdr:from>
    <xdr:to>
      <xdr:col>0</xdr:col>
      <xdr:colOff>323850</xdr:colOff>
      <xdr:row>506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33A54759-B086-4B99-80CD-287D33291B31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507</xdr:row>
      <xdr:rowOff>0</xdr:rowOff>
    </xdr:from>
    <xdr:to>
      <xdr:col>0</xdr:col>
      <xdr:colOff>323850</xdr:colOff>
      <xdr:row>508</xdr:row>
      <xdr:rowOff>120650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6D633ECF-38F8-4E1D-84FF-F1C0AF5DF45D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0</xdr:col>
      <xdr:colOff>323850</xdr:colOff>
      <xdr:row>510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B909E248-77EE-45DC-8F38-D0D23A1B6A57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0</xdr:col>
      <xdr:colOff>323850</xdr:colOff>
      <xdr:row>512</xdr:row>
      <xdr:rowOff>120650</xdr:rowOff>
    </xdr:to>
    <xdr:sp macro="" textlink="">
      <xdr:nvSpPr>
        <xdr:cNvPr id="148" name="Frame 147">
          <a:extLst>
            <a:ext uri="{FF2B5EF4-FFF2-40B4-BE49-F238E27FC236}">
              <a16:creationId xmlns:a16="http://schemas.microsoft.com/office/drawing/2014/main" id="{E976C542-42FC-476F-B505-2917A239E2DE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513</xdr:row>
      <xdr:rowOff>0</xdr:rowOff>
    </xdr:from>
    <xdr:to>
      <xdr:col>0</xdr:col>
      <xdr:colOff>323850</xdr:colOff>
      <xdr:row>514</xdr:row>
      <xdr:rowOff>120650</xdr:rowOff>
    </xdr:to>
    <xdr:sp macro="" textlink="">
      <xdr:nvSpPr>
        <xdr:cNvPr id="149" name="Frame 148">
          <a:extLst>
            <a:ext uri="{FF2B5EF4-FFF2-40B4-BE49-F238E27FC236}">
              <a16:creationId xmlns:a16="http://schemas.microsoft.com/office/drawing/2014/main" id="{2502DD55-5795-4233-88E9-F5A96340BB99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515</xdr:row>
      <xdr:rowOff>0</xdr:rowOff>
    </xdr:from>
    <xdr:to>
      <xdr:col>0</xdr:col>
      <xdr:colOff>323850</xdr:colOff>
      <xdr:row>516</xdr:row>
      <xdr:rowOff>120650</xdr:rowOff>
    </xdr:to>
    <xdr:sp macro="" textlink="">
      <xdr:nvSpPr>
        <xdr:cNvPr id="150" name="Frame 149">
          <a:extLst>
            <a:ext uri="{FF2B5EF4-FFF2-40B4-BE49-F238E27FC236}">
              <a16:creationId xmlns:a16="http://schemas.microsoft.com/office/drawing/2014/main" id="{05644F67-FA25-46FF-8DC9-E0F5E7E24130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517</xdr:row>
      <xdr:rowOff>0</xdr:rowOff>
    </xdr:from>
    <xdr:to>
      <xdr:col>0</xdr:col>
      <xdr:colOff>323850</xdr:colOff>
      <xdr:row>518</xdr:row>
      <xdr:rowOff>120650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B1BC6D34-A056-4FC4-9636-59864D8249FC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323850</xdr:colOff>
      <xdr:row>520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872AB985-A857-481E-B00C-C1E4BCA30D4F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521</xdr:row>
      <xdr:rowOff>0</xdr:rowOff>
    </xdr:from>
    <xdr:to>
      <xdr:col>0</xdr:col>
      <xdr:colOff>323850</xdr:colOff>
      <xdr:row>522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058E998D-F0C2-41D5-85FA-16374351E4D5}"/>
            </a:ext>
          </a:extLst>
        </xdr:cNvPr>
        <xdr:cNvSpPr/>
      </xdr:nvSpPr>
      <xdr:spPr>
        <a:xfrm>
          <a:off x="0" y="8807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523</xdr:row>
      <xdr:rowOff>0</xdr:rowOff>
    </xdr:from>
    <xdr:to>
      <xdr:col>0</xdr:col>
      <xdr:colOff>323850</xdr:colOff>
      <xdr:row>524</xdr:row>
      <xdr:rowOff>120650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D0F234AF-6C08-4BA2-B8D7-8A5F7A2A3E37}"/>
            </a:ext>
          </a:extLst>
        </xdr:cNvPr>
        <xdr:cNvSpPr/>
      </xdr:nvSpPr>
      <xdr:spPr>
        <a:xfrm>
          <a:off x="0" y="8844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525</xdr:row>
      <xdr:rowOff>0</xdr:rowOff>
    </xdr:from>
    <xdr:to>
      <xdr:col>0</xdr:col>
      <xdr:colOff>323850</xdr:colOff>
      <xdr:row>526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FD16A203-3C2D-4954-8B4B-529043ED9F97}"/>
            </a:ext>
          </a:extLst>
        </xdr:cNvPr>
        <xdr:cNvSpPr/>
      </xdr:nvSpPr>
      <xdr:spPr>
        <a:xfrm>
          <a:off x="0" y="8881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540</xdr:row>
      <xdr:rowOff>177800</xdr:rowOff>
    </xdr:from>
    <xdr:to>
      <xdr:col>0</xdr:col>
      <xdr:colOff>330200</xdr:colOff>
      <xdr:row>542</xdr:row>
      <xdr:rowOff>114300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2D5D614B-CB63-4BF2-9B04-4F6B9291C3AB}"/>
            </a:ext>
          </a:extLst>
        </xdr:cNvPr>
        <xdr:cNvSpPr/>
      </xdr:nvSpPr>
      <xdr:spPr>
        <a:xfrm>
          <a:off x="6350" y="8401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543</xdr:row>
      <xdr:rowOff>0</xdr:rowOff>
    </xdr:from>
    <xdr:to>
      <xdr:col>0</xdr:col>
      <xdr:colOff>323850</xdr:colOff>
      <xdr:row>544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F100D526-9313-49FA-869C-1083EEAE09B5}"/>
            </a:ext>
          </a:extLst>
        </xdr:cNvPr>
        <xdr:cNvSpPr/>
      </xdr:nvSpPr>
      <xdr:spPr>
        <a:xfrm>
          <a:off x="0" y="8439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545</xdr:row>
      <xdr:rowOff>0</xdr:rowOff>
    </xdr:from>
    <xdr:to>
      <xdr:col>0</xdr:col>
      <xdr:colOff>323850</xdr:colOff>
      <xdr:row>546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3CD6385F-65C2-487D-9C59-7AF0BACA4C49}"/>
            </a:ext>
          </a:extLst>
        </xdr:cNvPr>
        <xdr:cNvSpPr/>
      </xdr:nvSpPr>
      <xdr:spPr>
        <a:xfrm>
          <a:off x="0" y="8475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547</xdr:row>
      <xdr:rowOff>0</xdr:rowOff>
    </xdr:from>
    <xdr:to>
      <xdr:col>0</xdr:col>
      <xdr:colOff>323850</xdr:colOff>
      <xdr:row>548</xdr:row>
      <xdr:rowOff>120650</xdr:rowOff>
    </xdr:to>
    <xdr:sp macro="" textlink="">
      <xdr:nvSpPr>
        <xdr:cNvPr id="127" name="Frame 126">
          <a:extLst>
            <a:ext uri="{FF2B5EF4-FFF2-40B4-BE49-F238E27FC236}">
              <a16:creationId xmlns:a16="http://schemas.microsoft.com/office/drawing/2014/main" id="{97CECAAC-8D72-4199-AF38-4EF19C04AC41}"/>
            </a:ext>
          </a:extLst>
        </xdr:cNvPr>
        <xdr:cNvSpPr/>
      </xdr:nvSpPr>
      <xdr:spPr>
        <a:xfrm>
          <a:off x="0" y="8512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565</xdr:row>
      <xdr:rowOff>177800</xdr:rowOff>
    </xdr:from>
    <xdr:to>
      <xdr:col>0</xdr:col>
      <xdr:colOff>330200</xdr:colOff>
      <xdr:row>567</xdr:row>
      <xdr:rowOff>114300</xdr:rowOff>
    </xdr:to>
    <xdr:sp macro="" textlink="">
      <xdr:nvSpPr>
        <xdr:cNvPr id="139" name="Frame 138">
          <a:extLst>
            <a:ext uri="{FF2B5EF4-FFF2-40B4-BE49-F238E27FC236}">
              <a16:creationId xmlns:a16="http://schemas.microsoft.com/office/drawing/2014/main" id="{79CB0833-FB8F-4634-86D7-BFC97B1856E8}"/>
            </a:ext>
          </a:extLst>
        </xdr:cNvPr>
        <xdr:cNvSpPr/>
      </xdr:nvSpPr>
      <xdr:spPr>
        <a:xfrm>
          <a:off x="6350" y="7647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568</xdr:row>
      <xdr:rowOff>0</xdr:rowOff>
    </xdr:from>
    <xdr:to>
      <xdr:col>0</xdr:col>
      <xdr:colOff>323850</xdr:colOff>
      <xdr:row>569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FDBA7D6B-8FBA-4E50-BE52-6DC178453F1F}"/>
            </a:ext>
          </a:extLst>
        </xdr:cNvPr>
        <xdr:cNvSpPr/>
      </xdr:nvSpPr>
      <xdr:spPr>
        <a:xfrm>
          <a:off x="0" y="7684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570</xdr:row>
      <xdr:rowOff>0</xdr:rowOff>
    </xdr:from>
    <xdr:to>
      <xdr:col>0</xdr:col>
      <xdr:colOff>323850</xdr:colOff>
      <xdr:row>571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98D13708-A403-4B8A-B13B-99C908BBCEF1}"/>
            </a:ext>
          </a:extLst>
        </xdr:cNvPr>
        <xdr:cNvSpPr/>
      </xdr:nvSpPr>
      <xdr:spPr>
        <a:xfrm>
          <a:off x="0" y="7721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323850</xdr:colOff>
      <xdr:row>573</xdr:row>
      <xdr:rowOff>120650</xdr:rowOff>
    </xdr:to>
    <xdr:sp macro="" textlink="">
      <xdr:nvSpPr>
        <xdr:cNvPr id="158" name="Frame 157">
          <a:extLst>
            <a:ext uri="{FF2B5EF4-FFF2-40B4-BE49-F238E27FC236}">
              <a16:creationId xmlns:a16="http://schemas.microsoft.com/office/drawing/2014/main" id="{5A59902E-BCAC-4DCC-9AB2-C2186B0C37EF}"/>
            </a:ext>
          </a:extLst>
        </xdr:cNvPr>
        <xdr:cNvSpPr/>
      </xdr:nvSpPr>
      <xdr:spPr>
        <a:xfrm>
          <a:off x="0" y="7758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574</xdr:row>
      <xdr:rowOff>0</xdr:rowOff>
    </xdr:from>
    <xdr:to>
      <xdr:col>0</xdr:col>
      <xdr:colOff>323850</xdr:colOff>
      <xdr:row>575</xdr:row>
      <xdr:rowOff>120650</xdr:rowOff>
    </xdr:to>
    <xdr:sp macro="" textlink="">
      <xdr:nvSpPr>
        <xdr:cNvPr id="159" name="Frame 158">
          <a:extLst>
            <a:ext uri="{FF2B5EF4-FFF2-40B4-BE49-F238E27FC236}">
              <a16:creationId xmlns:a16="http://schemas.microsoft.com/office/drawing/2014/main" id="{94069710-CA1C-4693-8EED-DDC0A57A90EB}"/>
            </a:ext>
          </a:extLst>
        </xdr:cNvPr>
        <xdr:cNvSpPr/>
      </xdr:nvSpPr>
      <xdr:spPr>
        <a:xfrm>
          <a:off x="0" y="7795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576</xdr:row>
      <xdr:rowOff>0</xdr:rowOff>
    </xdr:from>
    <xdr:to>
      <xdr:col>0</xdr:col>
      <xdr:colOff>323850</xdr:colOff>
      <xdr:row>577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ED91B5A6-FB1F-424B-9913-42712CE9ACC0}"/>
            </a:ext>
          </a:extLst>
        </xdr:cNvPr>
        <xdr:cNvSpPr/>
      </xdr:nvSpPr>
      <xdr:spPr>
        <a:xfrm>
          <a:off x="0" y="7832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578</xdr:row>
      <xdr:rowOff>0</xdr:rowOff>
    </xdr:from>
    <xdr:to>
      <xdr:col>0</xdr:col>
      <xdr:colOff>323850</xdr:colOff>
      <xdr:row>579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DE257DB0-14AE-44A3-B28D-A3C781E9E9CF}"/>
            </a:ext>
          </a:extLst>
        </xdr:cNvPr>
        <xdr:cNvSpPr/>
      </xdr:nvSpPr>
      <xdr:spPr>
        <a:xfrm>
          <a:off x="0" y="7868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580</xdr:row>
      <xdr:rowOff>0</xdr:rowOff>
    </xdr:from>
    <xdr:to>
      <xdr:col>0</xdr:col>
      <xdr:colOff>323850</xdr:colOff>
      <xdr:row>581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A5A77FFF-6319-4D4C-B7F9-BCCFBF82E03E}"/>
            </a:ext>
          </a:extLst>
        </xdr:cNvPr>
        <xdr:cNvSpPr/>
      </xdr:nvSpPr>
      <xdr:spPr>
        <a:xfrm>
          <a:off x="0" y="79057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582</xdr:row>
      <xdr:rowOff>0</xdr:rowOff>
    </xdr:from>
    <xdr:to>
      <xdr:col>0</xdr:col>
      <xdr:colOff>323850</xdr:colOff>
      <xdr:row>583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26E68E53-ED8D-4C4B-A227-4B8CD226A978}"/>
            </a:ext>
          </a:extLst>
        </xdr:cNvPr>
        <xdr:cNvSpPr/>
      </xdr:nvSpPr>
      <xdr:spPr>
        <a:xfrm>
          <a:off x="0" y="79425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584</xdr:row>
      <xdr:rowOff>0</xdr:rowOff>
    </xdr:from>
    <xdr:to>
      <xdr:col>0</xdr:col>
      <xdr:colOff>323850</xdr:colOff>
      <xdr:row>585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6DD47873-0894-493A-A780-12EBEBE435B5}"/>
            </a:ext>
          </a:extLst>
        </xdr:cNvPr>
        <xdr:cNvSpPr/>
      </xdr:nvSpPr>
      <xdr:spPr>
        <a:xfrm>
          <a:off x="0" y="7979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586</xdr:row>
      <xdr:rowOff>0</xdr:rowOff>
    </xdr:from>
    <xdr:to>
      <xdr:col>0</xdr:col>
      <xdr:colOff>323850</xdr:colOff>
      <xdr:row>587</xdr:row>
      <xdr:rowOff>120650</xdr:rowOff>
    </xdr:to>
    <xdr:sp macro="" textlink="">
      <xdr:nvSpPr>
        <xdr:cNvPr id="165" name="Frame 164">
          <a:extLst>
            <a:ext uri="{FF2B5EF4-FFF2-40B4-BE49-F238E27FC236}">
              <a16:creationId xmlns:a16="http://schemas.microsoft.com/office/drawing/2014/main" id="{BA490128-9089-4DF2-ABA9-30AB27AC431F}"/>
            </a:ext>
          </a:extLst>
        </xdr:cNvPr>
        <xdr:cNvSpPr/>
      </xdr:nvSpPr>
      <xdr:spPr>
        <a:xfrm>
          <a:off x="0" y="8016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588</xdr:row>
      <xdr:rowOff>0</xdr:rowOff>
    </xdr:from>
    <xdr:to>
      <xdr:col>0</xdr:col>
      <xdr:colOff>323850</xdr:colOff>
      <xdr:row>589</xdr:row>
      <xdr:rowOff>120650</xdr:rowOff>
    </xdr:to>
    <xdr:sp macro="" textlink="">
      <xdr:nvSpPr>
        <xdr:cNvPr id="166" name="Frame 165">
          <a:extLst>
            <a:ext uri="{FF2B5EF4-FFF2-40B4-BE49-F238E27FC236}">
              <a16:creationId xmlns:a16="http://schemas.microsoft.com/office/drawing/2014/main" id="{9C6F928D-3EEE-4412-AA1D-EBE821D55EA2}"/>
            </a:ext>
          </a:extLst>
        </xdr:cNvPr>
        <xdr:cNvSpPr/>
      </xdr:nvSpPr>
      <xdr:spPr>
        <a:xfrm>
          <a:off x="0" y="8053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590</xdr:row>
      <xdr:rowOff>0</xdr:rowOff>
    </xdr:from>
    <xdr:to>
      <xdr:col>0</xdr:col>
      <xdr:colOff>323850</xdr:colOff>
      <xdr:row>591</xdr:row>
      <xdr:rowOff>120650</xdr:rowOff>
    </xdr:to>
    <xdr:sp macro="" textlink="">
      <xdr:nvSpPr>
        <xdr:cNvPr id="168" name="Frame 167">
          <a:extLst>
            <a:ext uri="{FF2B5EF4-FFF2-40B4-BE49-F238E27FC236}">
              <a16:creationId xmlns:a16="http://schemas.microsoft.com/office/drawing/2014/main" id="{F63E974D-CBD5-4A81-80A8-C7A282ECAF94}"/>
            </a:ext>
          </a:extLst>
        </xdr:cNvPr>
        <xdr:cNvSpPr/>
      </xdr:nvSpPr>
      <xdr:spPr>
        <a:xfrm>
          <a:off x="0" y="10076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592</xdr:row>
      <xdr:rowOff>0</xdr:rowOff>
    </xdr:from>
    <xdr:to>
      <xdr:col>0</xdr:col>
      <xdr:colOff>323850</xdr:colOff>
      <xdr:row>593</xdr:row>
      <xdr:rowOff>120650</xdr:rowOff>
    </xdr:to>
    <xdr:sp macro="" textlink="">
      <xdr:nvSpPr>
        <xdr:cNvPr id="169" name="Frame 168">
          <a:extLst>
            <a:ext uri="{FF2B5EF4-FFF2-40B4-BE49-F238E27FC236}">
              <a16:creationId xmlns:a16="http://schemas.microsoft.com/office/drawing/2014/main" id="{1A560F53-5D6D-4BB0-84A9-B335A80FB753}"/>
            </a:ext>
          </a:extLst>
        </xdr:cNvPr>
        <xdr:cNvSpPr/>
      </xdr:nvSpPr>
      <xdr:spPr>
        <a:xfrm>
          <a:off x="0" y="10113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594</xdr:row>
      <xdr:rowOff>0</xdr:rowOff>
    </xdr:from>
    <xdr:to>
      <xdr:col>0</xdr:col>
      <xdr:colOff>323850</xdr:colOff>
      <xdr:row>595</xdr:row>
      <xdr:rowOff>120650</xdr:rowOff>
    </xdr:to>
    <xdr:sp macro="" textlink="">
      <xdr:nvSpPr>
        <xdr:cNvPr id="170" name="Frame 169">
          <a:extLst>
            <a:ext uri="{FF2B5EF4-FFF2-40B4-BE49-F238E27FC236}">
              <a16:creationId xmlns:a16="http://schemas.microsoft.com/office/drawing/2014/main" id="{BC3FBB13-8538-499A-AF84-4005F7A5F5E0}"/>
            </a:ext>
          </a:extLst>
        </xdr:cNvPr>
        <xdr:cNvSpPr/>
      </xdr:nvSpPr>
      <xdr:spPr>
        <a:xfrm>
          <a:off x="0" y="101504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596</xdr:row>
      <xdr:rowOff>0</xdr:rowOff>
    </xdr:from>
    <xdr:to>
      <xdr:col>0</xdr:col>
      <xdr:colOff>323850</xdr:colOff>
      <xdr:row>597</xdr:row>
      <xdr:rowOff>120650</xdr:rowOff>
    </xdr:to>
    <xdr:sp macro="" textlink="">
      <xdr:nvSpPr>
        <xdr:cNvPr id="171" name="Frame 170">
          <a:extLst>
            <a:ext uri="{FF2B5EF4-FFF2-40B4-BE49-F238E27FC236}">
              <a16:creationId xmlns:a16="http://schemas.microsoft.com/office/drawing/2014/main" id="{1F3D54B2-FD0C-47FA-9729-86A504A9D7B0}"/>
            </a:ext>
          </a:extLst>
        </xdr:cNvPr>
        <xdr:cNvSpPr/>
      </xdr:nvSpPr>
      <xdr:spPr>
        <a:xfrm>
          <a:off x="0" y="10187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611</xdr:row>
      <xdr:rowOff>177800</xdr:rowOff>
    </xdr:from>
    <xdr:to>
      <xdr:col>0</xdr:col>
      <xdr:colOff>330200</xdr:colOff>
      <xdr:row>613</xdr:row>
      <xdr:rowOff>114300</xdr:rowOff>
    </xdr:to>
    <xdr:sp macro="" textlink="">
      <xdr:nvSpPr>
        <xdr:cNvPr id="172" name="Frame 171">
          <a:extLst>
            <a:ext uri="{FF2B5EF4-FFF2-40B4-BE49-F238E27FC236}">
              <a16:creationId xmlns:a16="http://schemas.microsoft.com/office/drawing/2014/main" id="{0CC4AC1B-D7D2-479B-A8D4-B80291C189DF}"/>
            </a:ext>
          </a:extLst>
        </xdr:cNvPr>
        <xdr:cNvSpPr/>
      </xdr:nvSpPr>
      <xdr:spPr>
        <a:xfrm>
          <a:off x="6350" y="9634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614</xdr:row>
      <xdr:rowOff>0</xdr:rowOff>
    </xdr:from>
    <xdr:to>
      <xdr:col>0</xdr:col>
      <xdr:colOff>323850</xdr:colOff>
      <xdr:row>615</xdr:row>
      <xdr:rowOff>120650</xdr:rowOff>
    </xdr:to>
    <xdr:sp macro="" textlink="">
      <xdr:nvSpPr>
        <xdr:cNvPr id="173" name="Frame 172">
          <a:extLst>
            <a:ext uri="{FF2B5EF4-FFF2-40B4-BE49-F238E27FC236}">
              <a16:creationId xmlns:a16="http://schemas.microsoft.com/office/drawing/2014/main" id="{874A2F52-14B6-45C1-9D5E-7D5FFDDCF05D}"/>
            </a:ext>
          </a:extLst>
        </xdr:cNvPr>
        <xdr:cNvSpPr/>
      </xdr:nvSpPr>
      <xdr:spPr>
        <a:xfrm>
          <a:off x="0" y="9671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616</xdr:row>
      <xdr:rowOff>0</xdr:rowOff>
    </xdr:from>
    <xdr:to>
      <xdr:col>0</xdr:col>
      <xdr:colOff>323850</xdr:colOff>
      <xdr:row>617</xdr:row>
      <xdr:rowOff>120650</xdr:rowOff>
    </xdr:to>
    <xdr:sp macro="" textlink="">
      <xdr:nvSpPr>
        <xdr:cNvPr id="174" name="Frame 173">
          <a:extLst>
            <a:ext uri="{FF2B5EF4-FFF2-40B4-BE49-F238E27FC236}">
              <a16:creationId xmlns:a16="http://schemas.microsoft.com/office/drawing/2014/main" id="{B0123182-757E-4823-9D4A-DB637AECFFC9}"/>
            </a:ext>
          </a:extLst>
        </xdr:cNvPr>
        <xdr:cNvSpPr/>
      </xdr:nvSpPr>
      <xdr:spPr>
        <a:xfrm>
          <a:off x="0" y="9708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618</xdr:row>
      <xdr:rowOff>0</xdr:rowOff>
    </xdr:from>
    <xdr:to>
      <xdr:col>0</xdr:col>
      <xdr:colOff>323850</xdr:colOff>
      <xdr:row>619</xdr:row>
      <xdr:rowOff>120650</xdr:rowOff>
    </xdr:to>
    <xdr:sp macro="" textlink="">
      <xdr:nvSpPr>
        <xdr:cNvPr id="175" name="Frame 174">
          <a:extLst>
            <a:ext uri="{FF2B5EF4-FFF2-40B4-BE49-F238E27FC236}">
              <a16:creationId xmlns:a16="http://schemas.microsoft.com/office/drawing/2014/main" id="{331F813E-CC88-43F4-A4A2-B80BF5808009}"/>
            </a:ext>
          </a:extLst>
        </xdr:cNvPr>
        <xdr:cNvSpPr/>
      </xdr:nvSpPr>
      <xdr:spPr>
        <a:xfrm>
          <a:off x="0" y="97453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620</xdr:row>
      <xdr:rowOff>0</xdr:rowOff>
    </xdr:from>
    <xdr:to>
      <xdr:col>0</xdr:col>
      <xdr:colOff>323850</xdr:colOff>
      <xdr:row>621</xdr:row>
      <xdr:rowOff>120650</xdr:rowOff>
    </xdr:to>
    <xdr:sp macro="" textlink="">
      <xdr:nvSpPr>
        <xdr:cNvPr id="176" name="Frame 175">
          <a:extLst>
            <a:ext uri="{FF2B5EF4-FFF2-40B4-BE49-F238E27FC236}">
              <a16:creationId xmlns:a16="http://schemas.microsoft.com/office/drawing/2014/main" id="{5206898D-3D68-42FA-97B2-6380BC9ECA39}"/>
            </a:ext>
          </a:extLst>
        </xdr:cNvPr>
        <xdr:cNvSpPr/>
      </xdr:nvSpPr>
      <xdr:spPr>
        <a:xfrm>
          <a:off x="0" y="97821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622</xdr:row>
      <xdr:rowOff>0</xdr:rowOff>
    </xdr:from>
    <xdr:to>
      <xdr:col>0</xdr:col>
      <xdr:colOff>323850</xdr:colOff>
      <xdr:row>623</xdr:row>
      <xdr:rowOff>120650</xdr:rowOff>
    </xdr:to>
    <xdr:sp macro="" textlink="">
      <xdr:nvSpPr>
        <xdr:cNvPr id="177" name="Frame 176">
          <a:extLst>
            <a:ext uri="{FF2B5EF4-FFF2-40B4-BE49-F238E27FC236}">
              <a16:creationId xmlns:a16="http://schemas.microsoft.com/office/drawing/2014/main" id="{280BAEEA-1E55-4C00-8409-8A0F2747D63E}"/>
            </a:ext>
          </a:extLst>
        </xdr:cNvPr>
        <xdr:cNvSpPr/>
      </xdr:nvSpPr>
      <xdr:spPr>
        <a:xfrm>
          <a:off x="0" y="98190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624</xdr:row>
      <xdr:rowOff>0</xdr:rowOff>
    </xdr:from>
    <xdr:to>
      <xdr:col>0</xdr:col>
      <xdr:colOff>323850</xdr:colOff>
      <xdr:row>625</xdr:row>
      <xdr:rowOff>120650</xdr:rowOff>
    </xdr:to>
    <xdr:sp macro="" textlink="">
      <xdr:nvSpPr>
        <xdr:cNvPr id="178" name="Frame 177">
          <a:extLst>
            <a:ext uri="{FF2B5EF4-FFF2-40B4-BE49-F238E27FC236}">
              <a16:creationId xmlns:a16="http://schemas.microsoft.com/office/drawing/2014/main" id="{8B1843E9-293F-4B4E-866E-78F9F9E7CA57}"/>
            </a:ext>
          </a:extLst>
        </xdr:cNvPr>
        <xdr:cNvSpPr/>
      </xdr:nvSpPr>
      <xdr:spPr>
        <a:xfrm>
          <a:off x="0" y="98558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0</xdr:col>
      <xdr:colOff>323850</xdr:colOff>
      <xdr:row>627</xdr:row>
      <xdr:rowOff>120650</xdr:rowOff>
    </xdr:to>
    <xdr:sp macro="" textlink="">
      <xdr:nvSpPr>
        <xdr:cNvPr id="179" name="Frame 178">
          <a:extLst>
            <a:ext uri="{FF2B5EF4-FFF2-40B4-BE49-F238E27FC236}">
              <a16:creationId xmlns:a16="http://schemas.microsoft.com/office/drawing/2014/main" id="{11AC2707-54CF-4AE7-B557-08B5C4B6678D}"/>
            </a:ext>
          </a:extLst>
        </xdr:cNvPr>
        <xdr:cNvSpPr/>
      </xdr:nvSpPr>
      <xdr:spPr>
        <a:xfrm>
          <a:off x="0" y="98926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323850</xdr:colOff>
      <xdr:row>645</xdr:row>
      <xdr:rowOff>120650</xdr:rowOff>
    </xdr:to>
    <xdr:sp macro="" textlink="">
      <xdr:nvSpPr>
        <xdr:cNvPr id="180" name="Frame 179">
          <a:extLst>
            <a:ext uri="{FF2B5EF4-FFF2-40B4-BE49-F238E27FC236}">
              <a16:creationId xmlns:a16="http://schemas.microsoft.com/office/drawing/2014/main" id="{B26DD735-C00A-4C13-85B3-DE194224080C}"/>
            </a:ext>
          </a:extLst>
        </xdr:cNvPr>
        <xdr:cNvSpPr/>
      </xdr:nvSpPr>
      <xdr:spPr>
        <a:xfrm>
          <a:off x="0" y="99294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646</xdr:row>
      <xdr:rowOff>0</xdr:rowOff>
    </xdr:from>
    <xdr:to>
      <xdr:col>0</xdr:col>
      <xdr:colOff>323850</xdr:colOff>
      <xdr:row>646</xdr:row>
      <xdr:rowOff>0</xdr:rowOff>
    </xdr:to>
    <xdr:sp macro="" textlink="">
      <xdr:nvSpPr>
        <xdr:cNvPr id="181" name="Frame 180">
          <a:extLst>
            <a:ext uri="{FF2B5EF4-FFF2-40B4-BE49-F238E27FC236}">
              <a16:creationId xmlns:a16="http://schemas.microsoft.com/office/drawing/2014/main" id="{7AC49B8A-AD73-487E-81EC-6C5FCDE28CDD}"/>
            </a:ext>
          </a:extLst>
        </xdr:cNvPr>
        <xdr:cNvSpPr/>
      </xdr:nvSpPr>
      <xdr:spPr>
        <a:xfrm>
          <a:off x="0" y="99663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646</xdr:row>
      <xdr:rowOff>0</xdr:rowOff>
    </xdr:from>
    <xdr:to>
      <xdr:col>0</xdr:col>
      <xdr:colOff>323850</xdr:colOff>
      <xdr:row>647</xdr:row>
      <xdr:rowOff>120650</xdr:rowOff>
    </xdr:to>
    <xdr:sp macro="" textlink="">
      <xdr:nvSpPr>
        <xdr:cNvPr id="182" name="Frame 181">
          <a:extLst>
            <a:ext uri="{FF2B5EF4-FFF2-40B4-BE49-F238E27FC236}">
              <a16:creationId xmlns:a16="http://schemas.microsoft.com/office/drawing/2014/main" id="{D1DD22CE-E9F6-43A4-B6AE-2260C3F63420}"/>
            </a:ext>
          </a:extLst>
        </xdr:cNvPr>
        <xdr:cNvSpPr/>
      </xdr:nvSpPr>
      <xdr:spPr>
        <a:xfrm>
          <a:off x="0" y="10003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648</xdr:row>
      <xdr:rowOff>0</xdr:rowOff>
    </xdr:from>
    <xdr:to>
      <xdr:col>0</xdr:col>
      <xdr:colOff>323850</xdr:colOff>
      <xdr:row>649</xdr:row>
      <xdr:rowOff>120650</xdr:rowOff>
    </xdr:to>
    <xdr:sp macro="" textlink="">
      <xdr:nvSpPr>
        <xdr:cNvPr id="183" name="Frame 182">
          <a:extLst>
            <a:ext uri="{FF2B5EF4-FFF2-40B4-BE49-F238E27FC236}">
              <a16:creationId xmlns:a16="http://schemas.microsoft.com/office/drawing/2014/main" id="{2AA30D5E-8FDE-48D0-9357-E187E3A001E8}"/>
            </a:ext>
          </a:extLst>
        </xdr:cNvPr>
        <xdr:cNvSpPr/>
      </xdr:nvSpPr>
      <xdr:spPr>
        <a:xfrm>
          <a:off x="0" y="10039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650</xdr:row>
      <xdr:rowOff>0</xdr:rowOff>
    </xdr:from>
    <xdr:to>
      <xdr:col>0</xdr:col>
      <xdr:colOff>323850</xdr:colOff>
      <xdr:row>651</xdr:row>
      <xdr:rowOff>120650</xdr:rowOff>
    </xdr:to>
    <xdr:sp macro="" textlink="">
      <xdr:nvSpPr>
        <xdr:cNvPr id="184" name="Frame 183">
          <a:extLst>
            <a:ext uri="{FF2B5EF4-FFF2-40B4-BE49-F238E27FC236}">
              <a16:creationId xmlns:a16="http://schemas.microsoft.com/office/drawing/2014/main" id="{FC315BB5-3CFB-4831-BFC1-AF13BE366C0D}"/>
            </a:ext>
          </a:extLst>
        </xdr:cNvPr>
        <xdr:cNvSpPr/>
      </xdr:nvSpPr>
      <xdr:spPr>
        <a:xfrm>
          <a:off x="0" y="10076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652</xdr:row>
      <xdr:rowOff>0</xdr:rowOff>
    </xdr:from>
    <xdr:to>
      <xdr:col>0</xdr:col>
      <xdr:colOff>323850</xdr:colOff>
      <xdr:row>653</xdr:row>
      <xdr:rowOff>120650</xdr:rowOff>
    </xdr:to>
    <xdr:sp macro="" textlink="">
      <xdr:nvSpPr>
        <xdr:cNvPr id="185" name="Frame 184">
          <a:extLst>
            <a:ext uri="{FF2B5EF4-FFF2-40B4-BE49-F238E27FC236}">
              <a16:creationId xmlns:a16="http://schemas.microsoft.com/office/drawing/2014/main" id="{800E9273-B672-4071-B790-6DB37B96FED9}"/>
            </a:ext>
          </a:extLst>
        </xdr:cNvPr>
        <xdr:cNvSpPr/>
      </xdr:nvSpPr>
      <xdr:spPr>
        <a:xfrm>
          <a:off x="0" y="10113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654</xdr:row>
      <xdr:rowOff>0</xdr:rowOff>
    </xdr:from>
    <xdr:to>
      <xdr:col>0</xdr:col>
      <xdr:colOff>323850</xdr:colOff>
      <xdr:row>655</xdr:row>
      <xdr:rowOff>120650</xdr:rowOff>
    </xdr:to>
    <xdr:sp macro="" textlink="">
      <xdr:nvSpPr>
        <xdr:cNvPr id="186" name="Frame 185">
          <a:extLst>
            <a:ext uri="{FF2B5EF4-FFF2-40B4-BE49-F238E27FC236}">
              <a16:creationId xmlns:a16="http://schemas.microsoft.com/office/drawing/2014/main" id="{9BF3527D-6160-445E-899E-92277E5ED0F2}"/>
            </a:ext>
          </a:extLst>
        </xdr:cNvPr>
        <xdr:cNvSpPr/>
      </xdr:nvSpPr>
      <xdr:spPr>
        <a:xfrm>
          <a:off x="0" y="101504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656</xdr:row>
      <xdr:rowOff>0</xdr:rowOff>
    </xdr:from>
    <xdr:to>
      <xdr:col>0</xdr:col>
      <xdr:colOff>323850</xdr:colOff>
      <xdr:row>657</xdr:row>
      <xdr:rowOff>120650</xdr:rowOff>
    </xdr:to>
    <xdr:sp macro="" textlink="">
      <xdr:nvSpPr>
        <xdr:cNvPr id="187" name="Frame 186">
          <a:extLst>
            <a:ext uri="{FF2B5EF4-FFF2-40B4-BE49-F238E27FC236}">
              <a16:creationId xmlns:a16="http://schemas.microsoft.com/office/drawing/2014/main" id="{B213323A-D020-4232-B2F0-68AE86BBE4EC}"/>
            </a:ext>
          </a:extLst>
        </xdr:cNvPr>
        <xdr:cNvSpPr/>
      </xdr:nvSpPr>
      <xdr:spPr>
        <a:xfrm>
          <a:off x="0" y="10187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628</xdr:row>
      <xdr:rowOff>0</xdr:rowOff>
    </xdr:from>
    <xdr:to>
      <xdr:col>0</xdr:col>
      <xdr:colOff>323850</xdr:colOff>
      <xdr:row>629</xdr:row>
      <xdr:rowOff>120650</xdr:rowOff>
    </xdr:to>
    <xdr:sp macro="" textlink="">
      <xdr:nvSpPr>
        <xdr:cNvPr id="188" name="Frame 187">
          <a:extLst>
            <a:ext uri="{FF2B5EF4-FFF2-40B4-BE49-F238E27FC236}">
              <a16:creationId xmlns:a16="http://schemas.microsoft.com/office/drawing/2014/main" id="{D247DC75-DA94-470E-AAC8-75775C36B2B3}"/>
            </a:ext>
          </a:extLst>
        </xdr:cNvPr>
        <xdr:cNvSpPr/>
      </xdr:nvSpPr>
      <xdr:spPr>
        <a:xfrm>
          <a:off x="0" y="10775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630</xdr:row>
      <xdr:rowOff>0</xdr:rowOff>
    </xdr:from>
    <xdr:to>
      <xdr:col>0</xdr:col>
      <xdr:colOff>323850</xdr:colOff>
      <xdr:row>631</xdr:row>
      <xdr:rowOff>120650</xdr:rowOff>
    </xdr:to>
    <xdr:sp macro="" textlink="">
      <xdr:nvSpPr>
        <xdr:cNvPr id="189" name="Frame 188">
          <a:extLst>
            <a:ext uri="{FF2B5EF4-FFF2-40B4-BE49-F238E27FC236}">
              <a16:creationId xmlns:a16="http://schemas.microsoft.com/office/drawing/2014/main" id="{EE1F3B11-F534-4120-99C3-4BF4A6199944}"/>
            </a:ext>
          </a:extLst>
        </xdr:cNvPr>
        <xdr:cNvSpPr/>
      </xdr:nvSpPr>
      <xdr:spPr>
        <a:xfrm>
          <a:off x="0" y="10812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632</xdr:row>
      <xdr:rowOff>0</xdr:rowOff>
    </xdr:from>
    <xdr:to>
      <xdr:col>0</xdr:col>
      <xdr:colOff>323850</xdr:colOff>
      <xdr:row>633</xdr:row>
      <xdr:rowOff>120650</xdr:rowOff>
    </xdr:to>
    <xdr:sp macro="" textlink="">
      <xdr:nvSpPr>
        <xdr:cNvPr id="190" name="Frame 189">
          <a:extLst>
            <a:ext uri="{FF2B5EF4-FFF2-40B4-BE49-F238E27FC236}">
              <a16:creationId xmlns:a16="http://schemas.microsoft.com/office/drawing/2014/main" id="{777254B2-065D-40BC-AEB2-F4DC90468EAF}"/>
            </a:ext>
          </a:extLst>
        </xdr:cNvPr>
        <xdr:cNvSpPr/>
      </xdr:nvSpPr>
      <xdr:spPr>
        <a:xfrm>
          <a:off x="0" y="10849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634</xdr:row>
      <xdr:rowOff>0</xdr:rowOff>
    </xdr:from>
    <xdr:to>
      <xdr:col>0</xdr:col>
      <xdr:colOff>323850</xdr:colOff>
      <xdr:row>635</xdr:row>
      <xdr:rowOff>120650</xdr:rowOff>
    </xdr:to>
    <xdr:sp macro="" textlink="">
      <xdr:nvSpPr>
        <xdr:cNvPr id="191" name="Frame 190">
          <a:extLst>
            <a:ext uri="{FF2B5EF4-FFF2-40B4-BE49-F238E27FC236}">
              <a16:creationId xmlns:a16="http://schemas.microsoft.com/office/drawing/2014/main" id="{85AA36BF-513F-460F-83E4-252F094D3E33}"/>
            </a:ext>
          </a:extLst>
        </xdr:cNvPr>
        <xdr:cNvSpPr/>
      </xdr:nvSpPr>
      <xdr:spPr>
        <a:xfrm>
          <a:off x="0" y="10886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323850</xdr:colOff>
      <xdr:row>637</xdr:row>
      <xdr:rowOff>120650</xdr:rowOff>
    </xdr:to>
    <xdr:sp macro="" textlink="">
      <xdr:nvSpPr>
        <xdr:cNvPr id="192" name="Frame 191">
          <a:extLst>
            <a:ext uri="{FF2B5EF4-FFF2-40B4-BE49-F238E27FC236}">
              <a16:creationId xmlns:a16="http://schemas.microsoft.com/office/drawing/2014/main" id="{A293AAAF-1A75-409B-BD21-121542360270}"/>
            </a:ext>
          </a:extLst>
        </xdr:cNvPr>
        <xdr:cNvSpPr/>
      </xdr:nvSpPr>
      <xdr:spPr>
        <a:xfrm>
          <a:off x="0" y="10923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638</xdr:row>
      <xdr:rowOff>0</xdr:rowOff>
    </xdr:from>
    <xdr:to>
      <xdr:col>0</xdr:col>
      <xdr:colOff>323850</xdr:colOff>
      <xdr:row>639</xdr:row>
      <xdr:rowOff>120650</xdr:rowOff>
    </xdr:to>
    <xdr:sp macro="" textlink="">
      <xdr:nvSpPr>
        <xdr:cNvPr id="193" name="Frame 192">
          <a:extLst>
            <a:ext uri="{FF2B5EF4-FFF2-40B4-BE49-F238E27FC236}">
              <a16:creationId xmlns:a16="http://schemas.microsoft.com/office/drawing/2014/main" id="{927C2813-C718-477C-8C00-323267B5CAD0}"/>
            </a:ext>
          </a:extLst>
        </xdr:cNvPr>
        <xdr:cNvSpPr/>
      </xdr:nvSpPr>
      <xdr:spPr>
        <a:xfrm>
          <a:off x="0" y="10960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640</xdr:row>
      <xdr:rowOff>0</xdr:rowOff>
    </xdr:from>
    <xdr:to>
      <xdr:col>0</xdr:col>
      <xdr:colOff>323850</xdr:colOff>
      <xdr:row>641</xdr:row>
      <xdr:rowOff>120650</xdr:rowOff>
    </xdr:to>
    <xdr:sp macro="" textlink="">
      <xdr:nvSpPr>
        <xdr:cNvPr id="194" name="Frame 193">
          <a:extLst>
            <a:ext uri="{FF2B5EF4-FFF2-40B4-BE49-F238E27FC236}">
              <a16:creationId xmlns:a16="http://schemas.microsoft.com/office/drawing/2014/main" id="{39D476C0-684C-49D6-8037-507ED293C94B}"/>
            </a:ext>
          </a:extLst>
        </xdr:cNvPr>
        <xdr:cNvSpPr/>
      </xdr:nvSpPr>
      <xdr:spPr>
        <a:xfrm>
          <a:off x="0" y="10996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642</xdr:row>
      <xdr:rowOff>0</xdr:rowOff>
    </xdr:from>
    <xdr:to>
      <xdr:col>0</xdr:col>
      <xdr:colOff>323850</xdr:colOff>
      <xdr:row>643</xdr:row>
      <xdr:rowOff>120650</xdr:rowOff>
    </xdr:to>
    <xdr:sp macro="" textlink="">
      <xdr:nvSpPr>
        <xdr:cNvPr id="195" name="Frame 194">
          <a:extLst>
            <a:ext uri="{FF2B5EF4-FFF2-40B4-BE49-F238E27FC236}">
              <a16:creationId xmlns:a16="http://schemas.microsoft.com/office/drawing/2014/main" id="{E39F0495-7546-4DCD-83B6-671F46588148}"/>
            </a:ext>
          </a:extLst>
        </xdr:cNvPr>
        <xdr:cNvSpPr/>
      </xdr:nvSpPr>
      <xdr:spPr>
        <a:xfrm>
          <a:off x="0" y="11033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671</xdr:row>
      <xdr:rowOff>177800</xdr:rowOff>
    </xdr:from>
    <xdr:to>
      <xdr:col>0</xdr:col>
      <xdr:colOff>330200</xdr:colOff>
      <xdr:row>673</xdr:row>
      <xdr:rowOff>114300</xdr:rowOff>
    </xdr:to>
    <xdr:sp macro="" textlink="">
      <xdr:nvSpPr>
        <xdr:cNvPr id="196" name="Frame 195">
          <a:extLst>
            <a:ext uri="{FF2B5EF4-FFF2-40B4-BE49-F238E27FC236}">
              <a16:creationId xmlns:a16="http://schemas.microsoft.com/office/drawing/2014/main" id="{2E6A03EE-2971-4FEE-98BD-ED46D400C7E2}"/>
            </a:ext>
          </a:extLst>
        </xdr:cNvPr>
        <xdr:cNvSpPr/>
      </xdr:nvSpPr>
      <xdr:spPr>
        <a:xfrm>
          <a:off x="6350" y="7647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323850</xdr:colOff>
      <xdr:row>675</xdr:row>
      <xdr:rowOff>120650</xdr:rowOff>
    </xdr:to>
    <xdr:sp macro="" textlink="">
      <xdr:nvSpPr>
        <xdr:cNvPr id="197" name="Frame 196">
          <a:extLst>
            <a:ext uri="{FF2B5EF4-FFF2-40B4-BE49-F238E27FC236}">
              <a16:creationId xmlns:a16="http://schemas.microsoft.com/office/drawing/2014/main" id="{16A671DE-23BE-41CA-8E46-BA599CCC6D9E}"/>
            </a:ext>
          </a:extLst>
        </xdr:cNvPr>
        <xdr:cNvSpPr/>
      </xdr:nvSpPr>
      <xdr:spPr>
        <a:xfrm>
          <a:off x="0" y="7684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676</xdr:row>
      <xdr:rowOff>0</xdr:rowOff>
    </xdr:from>
    <xdr:to>
      <xdr:col>0</xdr:col>
      <xdr:colOff>323850</xdr:colOff>
      <xdr:row>677</xdr:row>
      <xdr:rowOff>120650</xdr:rowOff>
    </xdr:to>
    <xdr:sp macro="" textlink="">
      <xdr:nvSpPr>
        <xdr:cNvPr id="198" name="Frame 197">
          <a:extLst>
            <a:ext uri="{FF2B5EF4-FFF2-40B4-BE49-F238E27FC236}">
              <a16:creationId xmlns:a16="http://schemas.microsoft.com/office/drawing/2014/main" id="{A3469FF0-03CD-4676-9975-F7E0C80E8C8A}"/>
            </a:ext>
          </a:extLst>
        </xdr:cNvPr>
        <xdr:cNvSpPr/>
      </xdr:nvSpPr>
      <xdr:spPr>
        <a:xfrm>
          <a:off x="0" y="7721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691</xdr:row>
      <xdr:rowOff>177800</xdr:rowOff>
    </xdr:from>
    <xdr:to>
      <xdr:col>0</xdr:col>
      <xdr:colOff>330200</xdr:colOff>
      <xdr:row>693</xdr:row>
      <xdr:rowOff>114300</xdr:rowOff>
    </xdr:to>
    <xdr:sp macro="" textlink="">
      <xdr:nvSpPr>
        <xdr:cNvPr id="209" name="Frame 208">
          <a:extLst>
            <a:ext uri="{FF2B5EF4-FFF2-40B4-BE49-F238E27FC236}">
              <a16:creationId xmlns:a16="http://schemas.microsoft.com/office/drawing/2014/main" id="{D567190B-9025-4996-9D9D-125DF3201185}"/>
            </a:ext>
          </a:extLst>
        </xdr:cNvPr>
        <xdr:cNvSpPr/>
      </xdr:nvSpPr>
      <xdr:spPr>
        <a:xfrm>
          <a:off x="6350" y="8401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694</xdr:row>
      <xdr:rowOff>0</xdr:rowOff>
    </xdr:from>
    <xdr:to>
      <xdr:col>0</xdr:col>
      <xdr:colOff>323850</xdr:colOff>
      <xdr:row>695</xdr:row>
      <xdr:rowOff>120650</xdr:rowOff>
    </xdr:to>
    <xdr:sp macro="" textlink="">
      <xdr:nvSpPr>
        <xdr:cNvPr id="210" name="Frame 209">
          <a:extLst>
            <a:ext uri="{FF2B5EF4-FFF2-40B4-BE49-F238E27FC236}">
              <a16:creationId xmlns:a16="http://schemas.microsoft.com/office/drawing/2014/main" id="{2036A700-E38B-4043-A89F-74DC4D0BE830}"/>
            </a:ext>
          </a:extLst>
        </xdr:cNvPr>
        <xdr:cNvSpPr/>
      </xdr:nvSpPr>
      <xdr:spPr>
        <a:xfrm>
          <a:off x="0" y="8439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696</xdr:row>
      <xdr:rowOff>0</xdr:rowOff>
    </xdr:from>
    <xdr:to>
      <xdr:col>0</xdr:col>
      <xdr:colOff>323850</xdr:colOff>
      <xdr:row>697</xdr:row>
      <xdr:rowOff>120650</xdr:rowOff>
    </xdr:to>
    <xdr:sp macro="" textlink="">
      <xdr:nvSpPr>
        <xdr:cNvPr id="211" name="Frame 210">
          <a:extLst>
            <a:ext uri="{FF2B5EF4-FFF2-40B4-BE49-F238E27FC236}">
              <a16:creationId xmlns:a16="http://schemas.microsoft.com/office/drawing/2014/main" id="{710729C7-ED7E-497D-A555-7DD802554033}"/>
            </a:ext>
          </a:extLst>
        </xdr:cNvPr>
        <xdr:cNvSpPr/>
      </xdr:nvSpPr>
      <xdr:spPr>
        <a:xfrm>
          <a:off x="0" y="8475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698</xdr:row>
      <xdr:rowOff>0</xdr:rowOff>
    </xdr:from>
    <xdr:to>
      <xdr:col>0</xdr:col>
      <xdr:colOff>323850</xdr:colOff>
      <xdr:row>699</xdr:row>
      <xdr:rowOff>120650</xdr:rowOff>
    </xdr:to>
    <xdr:sp macro="" textlink="">
      <xdr:nvSpPr>
        <xdr:cNvPr id="212" name="Frame 211">
          <a:extLst>
            <a:ext uri="{FF2B5EF4-FFF2-40B4-BE49-F238E27FC236}">
              <a16:creationId xmlns:a16="http://schemas.microsoft.com/office/drawing/2014/main" id="{868BCD0B-5AB4-4457-8204-DDD3414E4748}"/>
            </a:ext>
          </a:extLst>
        </xdr:cNvPr>
        <xdr:cNvSpPr/>
      </xdr:nvSpPr>
      <xdr:spPr>
        <a:xfrm>
          <a:off x="0" y="8512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700</xdr:row>
      <xdr:rowOff>0</xdr:rowOff>
    </xdr:from>
    <xdr:to>
      <xdr:col>0</xdr:col>
      <xdr:colOff>323850</xdr:colOff>
      <xdr:row>701</xdr:row>
      <xdr:rowOff>120650</xdr:rowOff>
    </xdr:to>
    <xdr:sp macro="" textlink="">
      <xdr:nvSpPr>
        <xdr:cNvPr id="213" name="Frame 212">
          <a:extLst>
            <a:ext uri="{FF2B5EF4-FFF2-40B4-BE49-F238E27FC236}">
              <a16:creationId xmlns:a16="http://schemas.microsoft.com/office/drawing/2014/main" id="{D866C146-662E-461F-A5AC-7FA170DED0D9}"/>
            </a:ext>
          </a:extLst>
        </xdr:cNvPr>
        <xdr:cNvSpPr/>
      </xdr:nvSpPr>
      <xdr:spPr>
        <a:xfrm>
          <a:off x="0" y="8549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702</xdr:row>
      <xdr:rowOff>0</xdr:rowOff>
    </xdr:from>
    <xdr:to>
      <xdr:col>0</xdr:col>
      <xdr:colOff>323850</xdr:colOff>
      <xdr:row>703</xdr:row>
      <xdr:rowOff>120650</xdr:rowOff>
    </xdr:to>
    <xdr:sp macro="" textlink="">
      <xdr:nvSpPr>
        <xdr:cNvPr id="214" name="Frame 213">
          <a:extLst>
            <a:ext uri="{FF2B5EF4-FFF2-40B4-BE49-F238E27FC236}">
              <a16:creationId xmlns:a16="http://schemas.microsoft.com/office/drawing/2014/main" id="{97E7F86E-0C89-4C0A-A12D-5959A32CF74B}"/>
            </a:ext>
          </a:extLst>
        </xdr:cNvPr>
        <xdr:cNvSpPr/>
      </xdr:nvSpPr>
      <xdr:spPr>
        <a:xfrm>
          <a:off x="0" y="8586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704</xdr:row>
      <xdr:rowOff>0</xdr:rowOff>
    </xdr:from>
    <xdr:to>
      <xdr:col>0</xdr:col>
      <xdr:colOff>323850</xdr:colOff>
      <xdr:row>705</xdr:row>
      <xdr:rowOff>120650</xdr:rowOff>
    </xdr:to>
    <xdr:sp macro="" textlink="">
      <xdr:nvSpPr>
        <xdr:cNvPr id="215" name="Frame 214">
          <a:extLst>
            <a:ext uri="{FF2B5EF4-FFF2-40B4-BE49-F238E27FC236}">
              <a16:creationId xmlns:a16="http://schemas.microsoft.com/office/drawing/2014/main" id="{D52ADF2B-FB5B-41D7-A8BA-E5282CAEC383}"/>
            </a:ext>
          </a:extLst>
        </xdr:cNvPr>
        <xdr:cNvSpPr/>
      </xdr:nvSpPr>
      <xdr:spPr>
        <a:xfrm>
          <a:off x="0" y="8623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706</xdr:row>
      <xdr:rowOff>0</xdr:rowOff>
    </xdr:from>
    <xdr:to>
      <xdr:col>0</xdr:col>
      <xdr:colOff>323850</xdr:colOff>
      <xdr:row>707</xdr:row>
      <xdr:rowOff>120650</xdr:rowOff>
    </xdr:to>
    <xdr:sp macro="" textlink="">
      <xdr:nvSpPr>
        <xdr:cNvPr id="216" name="Frame 215">
          <a:extLst>
            <a:ext uri="{FF2B5EF4-FFF2-40B4-BE49-F238E27FC236}">
              <a16:creationId xmlns:a16="http://schemas.microsoft.com/office/drawing/2014/main" id="{C9527D92-67BC-4F5F-BDF6-08F3BA50F0A7}"/>
            </a:ext>
          </a:extLst>
        </xdr:cNvPr>
        <xdr:cNvSpPr/>
      </xdr:nvSpPr>
      <xdr:spPr>
        <a:xfrm>
          <a:off x="0" y="8660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708</xdr:row>
      <xdr:rowOff>0</xdr:rowOff>
    </xdr:from>
    <xdr:to>
      <xdr:col>0</xdr:col>
      <xdr:colOff>323850</xdr:colOff>
      <xdr:row>709</xdr:row>
      <xdr:rowOff>120650</xdr:rowOff>
    </xdr:to>
    <xdr:sp macro="" textlink="">
      <xdr:nvSpPr>
        <xdr:cNvPr id="217" name="Frame 216">
          <a:extLst>
            <a:ext uri="{FF2B5EF4-FFF2-40B4-BE49-F238E27FC236}">
              <a16:creationId xmlns:a16="http://schemas.microsoft.com/office/drawing/2014/main" id="{987DEAA0-ABE8-4E33-A55E-F071D8D68DE7}"/>
            </a:ext>
          </a:extLst>
        </xdr:cNvPr>
        <xdr:cNvSpPr/>
      </xdr:nvSpPr>
      <xdr:spPr>
        <a:xfrm>
          <a:off x="0" y="8696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710</xdr:row>
      <xdr:rowOff>0</xdr:rowOff>
    </xdr:from>
    <xdr:to>
      <xdr:col>0</xdr:col>
      <xdr:colOff>323850</xdr:colOff>
      <xdr:row>711</xdr:row>
      <xdr:rowOff>120650</xdr:rowOff>
    </xdr:to>
    <xdr:sp macro="" textlink="">
      <xdr:nvSpPr>
        <xdr:cNvPr id="218" name="Frame 217">
          <a:extLst>
            <a:ext uri="{FF2B5EF4-FFF2-40B4-BE49-F238E27FC236}">
              <a16:creationId xmlns:a16="http://schemas.microsoft.com/office/drawing/2014/main" id="{D2927967-F569-4812-AC4A-6BC7E83529AA}"/>
            </a:ext>
          </a:extLst>
        </xdr:cNvPr>
        <xdr:cNvSpPr/>
      </xdr:nvSpPr>
      <xdr:spPr>
        <a:xfrm>
          <a:off x="0" y="8733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712</xdr:row>
      <xdr:rowOff>0</xdr:rowOff>
    </xdr:from>
    <xdr:to>
      <xdr:col>0</xdr:col>
      <xdr:colOff>323850</xdr:colOff>
      <xdr:row>713</xdr:row>
      <xdr:rowOff>120650</xdr:rowOff>
    </xdr:to>
    <xdr:sp macro="" textlink="">
      <xdr:nvSpPr>
        <xdr:cNvPr id="219" name="Frame 218">
          <a:extLst>
            <a:ext uri="{FF2B5EF4-FFF2-40B4-BE49-F238E27FC236}">
              <a16:creationId xmlns:a16="http://schemas.microsoft.com/office/drawing/2014/main" id="{7D30C429-458C-4A33-9834-0F71B3EE924F}"/>
            </a:ext>
          </a:extLst>
        </xdr:cNvPr>
        <xdr:cNvSpPr/>
      </xdr:nvSpPr>
      <xdr:spPr>
        <a:xfrm>
          <a:off x="0" y="8770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727</xdr:row>
      <xdr:rowOff>177800</xdr:rowOff>
    </xdr:from>
    <xdr:to>
      <xdr:col>0</xdr:col>
      <xdr:colOff>330200</xdr:colOff>
      <xdr:row>729</xdr:row>
      <xdr:rowOff>114300</xdr:rowOff>
    </xdr:to>
    <xdr:sp macro="" textlink="">
      <xdr:nvSpPr>
        <xdr:cNvPr id="223" name="Frame 222">
          <a:extLst>
            <a:ext uri="{FF2B5EF4-FFF2-40B4-BE49-F238E27FC236}">
              <a16:creationId xmlns:a16="http://schemas.microsoft.com/office/drawing/2014/main" id="{AFC5C266-AF34-4A80-94FE-804BCFE54C5A}"/>
            </a:ext>
          </a:extLst>
        </xdr:cNvPr>
        <xdr:cNvSpPr/>
      </xdr:nvSpPr>
      <xdr:spPr>
        <a:xfrm>
          <a:off x="6350" y="120630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730</xdr:row>
      <xdr:rowOff>0</xdr:rowOff>
    </xdr:from>
    <xdr:to>
      <xdr:col>0</xdr:col>
      <xdr:colOff>323850</xdr:colOff>
      <xdr:row>731</xdr:row>
      <xdr:rowOff>120650</xdr:rowOff>
    </xdr:to>
    <xdr:sp macro="" textlink="">
      <xdr:nvSpPr>
        <xdr:cNvPr id="224" name="Frame 223">
          <a:extLst>
            <a:ext uri="{FF2B5EF4-FFF2-40B4-BE49-F238E27FC236}">
              <a16:creationId xmlns:a16="http://schemas.microsoft.com/office/drawing/2014/main" id="{3BEB58DE-8B1C-4669-8BF4-17533A1A02E0}"/>
            </a:ext>
          </a:extLst>
        </xdr:cNvPr>
        <xdr:cNvSpPr/>
      </xdr:nvSpPr>
      <xdr:spPr>
        <a:xfrm>
          <a:off x="0" y="12100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732</xdr:row>
      <xdr:rowOff>0</xdr:rowOff>
    </xdr:from>
    <xdr:to>
      <xdr:col>0</xdr:col>
      <xdr:colOff>323850</xdr:colOff>
      <xdr:row>733</xdr:row>
      <xdr:rowOff>120650</xdr:rowOff>
    </xdr:to>
    <xdr:sp macro="" textlink="">
      <xdr:nvSpPr>
        <xdr:cNvPr id="225" name="Frame 224">
          <a:extLst>
            <a:ext uri="{FF2B5EF4-FFF2-40B4-BE49-F238E27FC236}">
              <a16:creationId xmlns:a16="http://schemas.microsoft.com/office/drawing/2014/main" id="{B26EFE33-1D38-4905-8671-A6156C880680}"/>
            </a:ext>
          </a:extLst>
        </xdr:cNvPr>
        <xdr:cNvSpPr/>
      </xdr:nvSpPr>
      <xdr:spPr>
        <a:xfrm>
          <a:off x="0" y="12137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734</xdr:row>
      <xdr:rowOff>0</xdr:rowOff>
    </xdr:from>
    <xdr:to>
      <xdr:col>0</xdr:col>
      <xdr:colOff>323850</xdr:colOff>
      <xdr:row>735</xdr:row>
      <xdr:rowOff>120650</xdr:rowOff>
    </xdr:to>
    <xdr:sp macro="" textlink="">
      <xdr:nvSpPr>
        <xdr:cNvPr id="226" name="Frame 225">
          <a:extLst>
            <a:ext uri="{FF2B5EF4-FFF2-40B4-BE49-F238E27FC236}">
              <a16:creationId xmlns:a16="http://schemas.microsoft.com/office/drawing/2014/main" id="{FDA12B18-D31D-4976-838F-C74903A75BDE}"/>
            </a:ext>
          </a:extLst>
        </xdr:cNvPr>
        <xdr:cNvSpPr/>
      </xdr:nvSpPr>
      <xdr:spPr>
        <a:xfrm>
          <a:off x="0" y="12174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736</xdr:row>
      <xdr:rowOff>0</xdr:rowOff>
    </xdr:from>
    <xdr:to>
      <xdr:col>0</xdr:col>
      <xdr:colOff>323850</xdr:colOff>
      <xdr:row>737</xdr:row>
      <xdr:rowOff>120650</xdr:rowOff>
    </xdr:to>
    <xdr:sp macro="" textlink="">
      <xdr:nvSpPr>
        <xdr:cNvPr id="227" name="Frame 226">
          <a:extLst>
            <a:ext uri="{FF2B5EF4-FFF2-40B4-BE49-F238E27FC236}">
              <a16:creationId xmlns:a16="http://schemas.microsoft.com/office/drawing/2014/main" id="{FE20ABCA-3D67-468F-B782-DC72D45B279A}"/>
            </a:ext>
          </a:extLst>
        </xdr:cNvPr>
        <xdr:cNvSpPr/>
      </xdr:nvSpPr>
      <xdr:spPr>
        <a:xfrm>
          <a:off x="0" y="12211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738</xdr:row>
      <xdr:rowOff>0</xdr:rowOff>
    </xdr:from>
    <xdr:to>
      <xdr:col>0</xdr:col>
      <xdr:colOff>323850</xdr:colOff>
      <xdr:row>739</xdr:row>
      <xdr:rowOff>120650</xdr:rowOff>
    </xdr:to>
    <xdr:sp macro="" textlink="">
      <xdr:nvSpPr>
        <xdr:cNvPr id="228" name="Frame 227">
          <a:extLst>
            <a:ext uri="{FF2B5EF4-FFF2-40B4-BE49-F238E27FC236}">
              <a16:creationId xmlns:a16="http://schemas.microsoft.com/office/drawing/2014/main" id="{0B309001-301A-49BE-8633-0D80085683FD}"/>
            </a:ext>
          </a:extLst>
        </xdr:cNvPr>
        <xdr:cNvSpPr/>
      </xdr:nvSpPr>
      <xdr:spPr>
        <a:xfrm>
          <a:off x="0" y="12247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740</xdr:row>
      <xdr:rowOff>0</xdr:rowOff>
    </xdr:from>
    <xdr:to>
      <xdr:col>0</xdr:col>
      <xdr:colOff>323850</xdr:colOff>
      <xdr:row>741</xdr:row>
      <xdr:rowOff>120650</xdr:rowOff>
    </xdr:to>
    <xdr:sp macro="" textlink="">
      <xdr:nvSpPr>
        <xdr:cNvPr id="229" name="Frame 228">
          <a:extLst>
            <a:ext uri="{FF2B5EF4-FFF2-40B4-BE49-F238E27FC236}">
              <a16:creationId xmlns:a16="http://schemas.microsoft.com/office/drawing/2014/main" id="{BFEAD6F1-64C2-43DF-AD93-6139066015EA}"/>
            </a:ext>
          </a:extLst>
        </xdr:cNvPr>
        <xdr:cNvSpPr/>
      </xdr:nvSpPr>
      <xdr:spPr>
        <a:xfrm>
          <a:off x="0" y="12284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742</xdr:row>
      <xdr:rowOff>0</xdr:rowOff>
    </xdr:from>
    <xdr:to>
      <xdr:col>0</xdr:col>
      <xdr:colOff>323850</xdr:colOff>
      <xdr:row>743</xdr:row>
      <xdr:rowOff>120650</xdr:rowOff>
    </xdr:to>
    <xdr:sp macro="" textlink="">
      <xdr:nvSpPr>
        <xdr:cNvPr id="230" name="Frame 229">
          <a:extLst>
            <a:ext uri="{FF2B5EF4-FFF2-40B4-BE49-F238E27FC236}">
              <a16:creationId xmlns:a16="http://schemas.microsoft.com/office/drawing/2014/main" id="{2080994B-B35F-4D2F-8E28-CD31BE5ABC2E}"/>
            </a:ext>
          </a:extLst>
        </xdr:cNvPr>
        <xdr:cNvSpPr/>
      </xdr:nvSpPr>
      <xdr:spPr>
        <a:xfrm>
          <a:off x="0" y="12321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744</xdr:row>
      <xdr:rowOff>0</xdr:rowOff>
    </xdr:from>
    <xdr:to>
      <xdr:col>0</xdr:col>
      <xdr:colOff>323850</xdr:colOff>
      <xdr:row>745</xdr:row>
      <xdr:rowOff>120650</xdr:rowOff>
    </xdr:to>
    <xdr:sp macro="" textlink="">
      <xdr:nvSpPr>
        <xdr:cNvPr id="231" name="Frame 230">
          <a:extLst>
            <a:ext uri="{FF2B5EF4-FFF2-40B4-BE49-F238E27FC236}">
              <a16:creationId xmlns:a16="http://schemas.microsoft.com/office/drawing/2014/main" id="{195EE334-C1EC-4363-B980-553EAF983375}"/>
            </a:ext>
          </a:extLst>
        </xdr:cNvPr>
        <xdr:cNvSpPr/>
      </xdr:nvSpPr>
      <xdr:spPr>
        <a:xfrm>
          <a:off x="0" y="123583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746</xdr:row>
      <xdr:rowOff>0</xdr:rowOff>
    </xdr:from>
    <xdr:to>
      <xdr:col>0</xdr:col>
      <xdr:colOff>323850</xdr:colOff>
      <xdr:row>747</xdr:row>
      <xdr:rowOff>120650</xdr:rowOff>
    </xdr:to>
    <xdr:sp macro="" textlink="">
      <xdr:nvSpPr>
        <xdr:cNvPr id="234" name="Frame 233">
          <a:extLst>
            <a:ext uri="{FF2B5EF4-FFF2-40B4-BE49-F238E27FC236}">
              <a16:creationId xmlns:a16="http://schemas.microsoft.com/office/drawing/2014/main" id="{2A8EB812-8D47-47FA-A45C-66015DC726BF}"/>
            </a:ext>
          </a:extLst>
        </xdr:cNvPr>
        <xdr:cNvSpPr/>
      </xdr:nvSpPr>
      <xdr:spPr>
        <a:xfrm>
          <a:off x="0" y="13094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748</xdr:row>
      <xdr:rowOff>0</xdr:rowOff>
    </xdr:from>
    <xdr:to>
      <xdr:col>0</xdr:col>
      <xdr:colOff>323850</xdr:colOff>
      <xdr:row>749</xdr:row>
      <xdr:rowOff>120650</xdr:rowOff>
    </xdr:to>
    <xdr:sp macro="" textlink="">
      <xdr:nvSpPr>
        <xdr:cNvPr id="235" name="Frame 234">
          <a:extLst>
            <a:ext uri="{FF2B5EF4-FFF2-40B4-BE49-F238E27FC236}">
              <a16:creationId xmlns:a16="http://schemas.microsoft.com/office/drawing/2014/main" id="{25CFDA08-D84B-40AB-85A8-694333C98820}"/>
            </a:ext>
          </a:extLst>
        </xdr:cNvPr>
        <xdr:cNvSpPr/>
      </xdr:nvSpPr>
      <xdr:spPr>
        <a:xfrm>
          <a:off x="0" y="13131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0</xdr:col>
      <xdr:colOff>323850</xdr:colOff>
      <xdr:row>751</xdr:row>
      <xdr:rowOff>120650</xdr:rowOff>
    </xdr:to>
    <xdr:sp macro="" textlink="">
      <xdr:nvSpPr>
        <xdr:cNvPr id="236" name="Frame 235">
          <a:extLst>
            <a:ext uri="{FF2B5EF4-FFF2-40B4-BE49-F238E27FC236}">
              <a16:creationId xmlns:a16="http://schemas.microsoft.com/office/drawing/2014/main" id="{57DBE2CD-30EB-47DE-861F-DD51BA2EA8DB}"/>
            </a:ext>
          </a:extLst>
        </xdr:cNvPr>
        <xdr:cNvSpPr/>
      </xdr:nvSpPr>
      <xdr:spPr>
        <a:xfrm>
          <a:off x="0" y="131679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752</xdr:row>
      <xdr:rowOff>0</xdr:rowOff>
    </xdr:from>
    <xdr:to>
      <xdr:col>0</xdr:col>
      <xdr:colOff>323850</xdr:colOff>
      <xdr:row>753</xdr:row>
      <xdr:rowOff>120650</xdr:rowOff>
    </xdr:to>
    <xdr:sp macro="" textlink="">
      <xdr:nvSpPr>
        <xdr:cNvPr id="237" name="Frame 236">
          <a:extLst>
            <a:ext uri="{FF2B5EF4-FFF2-40B4-BE49-F238E27FC236}">
              <a16:creationId xmlns:a16="http://schemas.microsoft.com/office/drawing/2014/main" id="{8C2BD53A-6073-4A91-8E83-8CBF2E211B1A}"/>
            </a:ext>
          </a:extLst>
        </xdr:cNvPr>
        <xdr:cNvSpPr/>
      </xdr:nvSpPr>
      <xdr:spPr>
        <a:xfrm>
          <a:off x="0" y="132048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754</xdr:row>
      <xdr:rowOff>0</xdr:rowOff>
    </xdr:from>
    <xdr:to>
      <xdr:col>0</xdr:col>
      <xdr:colOff>323850</xdr:colOff>
      <xdr:row>755</xdr:row>
      <xdr:rowOff>120650</xdr:rowOff>
    </xdr:to>
    <xdr:sp macro="" textlink="">
      <xdr:nvSpPr>
        <xdr:cNvPr id="238" name="Frame 237">
          <a:extLst>
            <a:ext uri="{FF2B5EF4-FFF2-40B4-BE49-F238E27FC236}">
              <a16:creationId xmlns:a16="http://schemas.microsoft.com/office/drawing/2014/main" id="{6AE2E7D6-C0A8-4505-BD51-3ED54F752F01}"/>
            </a:ext>
          </a:extLst>
        </xdr:cNvPr>
        <xdr:cNvSpPr/>
      </xdr:nvSpPr>
      <xdr:spPr>
        <a:xfrm>
          <a:off x="0" y="132416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769</xdr:row>
      <xdr:rowOff>177800</xdr:rowOff>
    </xdr:from>
    <xdr:to>
      <xdr:col>0</xdr:col>
      <xdr:colOff>330200</xdr:colOff>
      <xdr:row>771</xdr:row>
      <xdr:rowOff>114300</xdr:rowOff>
    </xdr:to>
    <xdr:sp macro="" textlink="">
      <xdr:nvSpPr>
        <xdr:cNvPr id="239" name="Frame 238">
          <a:extLst>
            <a:ext uri="{FF2B5EF4-FFF2-40B4-BE49-F238E27FC236}">
              <a16:creationId xmlns:a16="http://schemas.microsoft.com/office/drawing/2014/main" id="{5838EB4A-6649-494E-8FB0-FAB7CF865C27}"/>
            </a:ext>
          </a:extLst>
        </xdr:cNvPr>
        <xdr:cNvSpPr/>
      </xdr:nvSpPr>
      <xdr:spPr>
        <a:xfrm>
          <a:off x="6350" y="10480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772</xdr:row>
      <xdr:rowOff>0</xdr:rowOff>
    </xdr:from>
    <xdr:to>
      <xdr:col>0</xdr:col>
      <xdr:colOff>323850</xdr:colOff>
      <xdr:row>773</xdr:row>
      <xdr:rowOff>120650</xdr:rowOff>
    </xdr:to>
    <xdr:sp macro="" textlink="">
      <xdr:nvSpPr>
        <xdr:cNvPr id="240" name="Frame 239">
          <a:extLst>
            <a:ext uri="{FF2B5EF4-FFF2-40B4-BE49-F238E27FC236}">
              <a16:creationId xmlns:a16="http://schemas.microsoft.com/office/drawing/2014/main" id="{FD658554-26B2-4568-A614-87DEA758BF05}"/>
            </a:ext>
          </a:extLst>
        </xdr:cNvPr>
        <xdr:cNvSpPr/>
      </xdr:nvSpPr>
      <xdr:spPr>
        <a:xfrm>
          <a:off x="0" y="10518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774</xdr:row>
      <xdr:rowOff>0</xdr:rowOff>
    </xdr:from>
    <xdr:to>
      <xdr:col>0</xdr:col>
      <xdr:colOff>323850</xdr:colOff>
      <xdr:row>775</xdr:row>
      <xdr:rowOff>120650</xdr:rowOff>
    </xdr:to>
    <xdr:sp macro="" textlink="">
      <xdr:nvSpPr>
        <xdr:cNvPr id="241" name="Frame 240">
          <a:extLst>
            <a:ext uri="{FF2B5EF4-FFF2-40B4-BE49-F238E27FC236}">
              <a16:creationId xmlns:a16="http://schemas.microsoft.com/office/drawing/2014/main" id="{C854CED5-D289-434F-8C4F-10F15C12947A}"/>
            </a:ext>
          </a:extLst>
        </xdr:cNvPr>
        <xdr:cNvSpPr/>
      </xdr:nvSpPr>
      <xdr:spPr>
        <a:xfrm>
          <a:off x="0" y="10554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776</xdr:row>
      <xdr:rowOff>0</xdr:rowOff>
    </xdr:from>
    <xdr:to>
      <xdr:col>0</xdr:col>
      <xdr:colOff>323850</xdr:colOff>
      <xdr:row>777</xdr:row>
      <xdr:rowOff>120650</xdr:rowOff>
    </xdr:to>
    <xdr:sp macro="" textlink="">
      <xdr:nvSpPr>
        <xdr:cNvPr id="242" name="Frame 241">
          <a:extLst>
            <a:ext uri="{FF2B5EF4-FFF2-40B4-BE49-F238E27FC236}">
              <a16:creationId xmlns:a16="http://schemas.microsoft.com/office/drawing/2014/main" id="{EE4C4F65-4529-4D66-B88C-F4E6E00407F6}"/>
            </a:ext>
          </a:extLst>
        </xdr:cNvPr>
        <xdr:cNvSpPr/>
      </xdr:nvSpPr>
      <xdr:spPr>
        <a:xfrm>
          <a:off x="0" y="10591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778</xdr:row>
      <xdr:rowOff>0</xdr:rowOff>
    </xdr:from>
    <xdr:to>
      <xdr:col>0</xdr:col>
      <xdr:colOff>323850</xdr:colOff>
      <xdr:row>779</xdr:row>
      <xdr:rowOff>120650</xdr:rowOff>
    </xdr:to>
    <xdr:sp macro="" textlink="">
      <xdr:nvSpPr>
        <xdr:cNvPr id="243" name="Frame 242">
          <a:extLst>
            <a:ext uri="{FF2B5EF4-FFF2-40B4-BE49-F238E27FC236}">
              <a16:creationId xmlns:a16="http://schemas.microsoft.com/office/drawing/2014/main" id="{F1E3E56F-E1F7-4DEF-96DD-576E4CAB1984}"/>
            </a:ext>
          </a:extLst>
        </xdr:cNvPr>
        <xdr:cNvSpPr/>
      </xdr:nvSpPr>
      <xdr:spPr>
        <a:xfrm>
          <a:off x="0" y="10628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780</xdr:row>
      <xdr:rowOff>0</xdr:rowOff>
    </xdr:from>
    <xdr:to>
      <xdr:col>0</xdr:col>
      <xdr:colOff>323850</xdr:colOff>
      <xdr:row>781</xdr:row>
      <xdr:rowOff>120650</xdr:rowOff>
    </xdr:to>
    <xdr:sp macro="" textlink="">
      <xdr:nvSpPr>
        <xdr:cNvPr id="244" name="Frame 243">
          <a:extLst>
            <a:ext uri="{FF2B5EF4-FFF2-40B4-BE49-F238E27FC236}">
              <a16:creationId xmlns:a16="http://schemas.microsoft.com/office/drawing/2014/main" id="{F8C337F6-0CF8-461E-BF64-16C7B063E1D9}"/>
            </a:ext>
          </a:extLst>
        </xdr:cNvPr>
        <xdr:cNvSpPr/>
      </xdr:nvSpPr>
      <xdr:spPr>
        <a:xfrm>
          <a:off x="0" y="10665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782</xdr:row>
      <xdr:rowOff>0</xdr:rowOff>
    </xdr:from>
    <xdr:to>
      <xdr:col>0</xdr:col>
      <xdr:colOff>323850</xdr:colOff>
      <xdr:row>783</xdr:row>
      <xdr:rowOff>120650</xdr:rowOff>
    </xdr:to>
    <xdr:sp macro="" textlink="">
      <xdr:nvSpPr>
        <xdr:cNvPr id="245" name="Frame 244">
          <a:extLst>
            <a:ext uri="{FF2B5EF4-FFF2-40B4-BE49-F238E27FC236}">
              <a16:creationId xmlns:a16="http://schemas.microsoft.com/office/drawing/2014/main" id="{925AEE3F-F6C7-4B97-AF16-561943ABF4AC}"/>
            </a:ext>
          </a:extLst>
        </xdr:cNvPr>
        <xdr:cNvSpPr/>
      </xdr:nvSpPr>
      <xdr:spPr>
        <a:xfrm>
          <a:off x="0" y="10702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784</xdr:row>
      <xdr:rowOff>0</xdr:rowOff>
    </xdr:from>
    <xdr:to>
      <xdr:col>0</xdr:col>
      <xdr:colOff>323850</xdr:colOff>
      <xdr:row>785</xdr:row>
      <xdr:rowOff>120650</xdr:rowOff>
    </xdr:to>
    <xdr:sp macro="" textlink="">
      <xdr:nvSpPr>
        <xdr:cNvPr id="246" name="Frame 245">
          <a:extLst>
            <a:ext uri="{FF2B5EF4-FFF2-40B4-BE49-F238E27FC236}">
              <a16:creationId xmlns:a16="http://schemas.microsoft.com/office/drawing/2014/main" id="{B9AC8997-F2F2-4255-ADDC-2B2A4CC2F772}"/>
            </a:ext>
          </a:extLst>
        </xdr:cNvPr>
        <xdr:cNvSpPr/>
      </xdr:nvSpPr>
      <xdr:spPr>
        <a:xfrm>
          <a:off x="0" y="107391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802</xdr:row>
      <xdr:rowOff>0</xdr:rowOff>
    </xdr:from>
    <xdr:to>
      <xdr:col>0</xdr:col>
      <xdr:colOff>323850</xdr:colOff>
      <xdr:row>803</xdr:row>
      <xdr:rowOff>120650</xdr:rowOff>
    </xdr:to>
    <xdr:sp macro="" textlink="">
      <xdr:nvSpPr>
        <xdr:cNvPr id="247" name="Frame 246">
          <a:extLst>
            <a:ext uri="{FF2B5EF4-FFF2-40B4-BE49-F238E27FC236}">
              <a16:creationId xmlns:a16="http://schemas.microsoft.com/office/drawing/2014/main" id="{24C34034-CEAE-46FE-891E-0EEE44B1CC9E}"/>
            </a:ext>
          </a:extLst>
        </xdr:cNvPr>
        <xdr:cNvSpPr/>
      </xdr:nvSpPr>
      <xdr:spPr>
        <a:xfrm>
          <a:off x="0" y="11070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804</xdr:row>
      <xdr:rowOff>0</xdr:rowOff>
    </xdr:from>
    <xdr:to>
      <xdr:col>0</xdr:col>
      <xdr:colOff>323850</xdr:colOff>
      <xdr:row>804</xdr:row>
      <xdr:rowOff>0</xdr:rowOff>
    </xdr:to>
    <xdr:sp macro="" textlink="">
      <xdr:nvSpPr>
        <xdr:cNvPr id="248" name="Frame 247">
          <a:extLst>
            <a:ext uri="{FF2B5EF4-FFF2-40B4-BE49-F238E27FC236}">
              <a16:creationId xmlns:a16="http://schemas.microsoft.com/office/drawing/2014/main" id="{9478EAF9-1A46-44BB-8874-4159497202C1}"/>
            </a:ext>
          </a:extLst>
        </xdr:cNvPr>
        <xdr:cNvSpPr/>
      </xdr:nvSpPr>
      <xdr:spPr>
        <a:xfrm>
          <a:off x="0" y="111074200"/>
          <a:ext cx="323850" cy="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804</xdr:row>
      <xdr:rowOff>0</xdr:rowOff>
    </xdr:from>
    <xdr:to>
      <xdr:col>0</xdr:col>
      <xdr:colOff>323850</xdr:colOff>
      <xdr:row>805</xdr:row>
      <xdr:rowOff>120650</xdr:rowOff>
    </xdr:to>
    <xdr:sp macro="" textlink="">
      <xdr:nvSpPr>
        <xdr:cNvPr id="249" name="Frame 248">
          <a:extLst>
            <a:ext uri="{FF2B5EF4-FFF2-40B4-BE49-F238E27FC236}">
              <a16:creationId xmlns:a16="http://schemas.microsoft.com/office/drawing/2014/main" id="{AC5E18D6-8C4B-4743-B12D-A2BC9B72EFC4}"/>
            </a:ext>
          </a:extLst>
        </xdr:cNvPr>
        <xdr:cNvSpPr/>
      </xdr:nvSpPr>
      <xdr:spPr>
        <a:xfrm>
          <a:off x="0" y="11107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806</xdr:row>
      <xdr:rowOff>0</xdr:rowOff>
    </xdr:from>
    <xdr:to>
      <xdr:col>0</xdr:col>
      <xdr:colOff>323850</xdr:colOff>
      <xdr:row>807</xdr:row>
      <xdr:rowOff>120650</xdr:rowOff>
    </xdr:to>
    <xdr:sp macro="" textlink="">
      <xdr:nvSpPr>
        <xdr:cNvPr id="250" name="Frame 249">
          <a:extLst>
            <a:ext uri="{FF2B5EF4-FFF2-40B4-BE49-F238E27FC236}">
              <a16:creationId xmlns:a16="http://schemas.microsoft.com/office/drawing/2014/main" id="{35503E02-D45B-4044-B020-08301C95A04C}"/>
            </a:ext>
          </a:extLst>
        </xdr:cNvPr>
        <xdr:cNvSpPr/>
      </xdr:nvSpPr>
      <xdr:spPr>
        <a:xfrm>
          <a:off x="0" y="11144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808</xdr:row>
      <xdr:rowOff>0</xdr:rowOff>
    </xdr:from>
    <xdr:to>
      <xdr:col>0</xdr:col>
      <xdr:colOff>323850</xdr:colOff>
      <xdr:row>809</xdr:row>
      <xdr:rowOff>120650</xdr:rowOff>
    </xdr:to>
    <xdr:sp macro="" textlink="">
      <xdr:nvSpPr>
        <xdr:cNvPr id="251" name="Frame 250">
          <a:extLst>
            <a:ext uri="{FF2B5EF4-FFF2-40B4-BE49-F238E27FC236}">
              <a16:creationId xmlns:a16="http://schemas.microsoft.com/office/drawing/2014/main" id="{4D36988D-05F9-4AC9-A8D2-CD74E099C006}"/>
            </a:ext>
          </a:extLst>
        </xdr:cNvPr>
        <xdr:cNvSpPr/>
      </xdr:nvSpPr>
      <xdr:spPr>
        <a:xfrm>
          <a:off x="0" y="11181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810</xdr:row>
      <xdr:rowOff>0</xdr:rowOff>
    </xdr:from>
    <xdr:to>
      <xdr:col>0</xdr:col>
      <xdr:colOff>323850</xdr:colOff>
      <xdr:row>811</xdr:row>
      <xdr:rowOff>120650</xdr:rowOff>
    </xdr:to>
    <xdr:sp macro="" textlink="">
      <xdr:nvSpPr>
        <xdr:cNvPr id="252" name="Frame 251">
          <a:extLst>
            <a:ext uri="{FF2B5EF4-FFF2-40B4-BE49-F238E27FC236}">
              <a16:creationId xmlns:a16="http://schemas.microsoft.com/office/drawing/2014/main" id="{88963F02-F156-4E0E-8E69-A0AE5CA9DE83}"/>
            </a:ext>
          </a:extLst>
        </xdr:cNvPr>
        <xdr:cNvSpPr/>
      </xdr:nvSpPr>
      <xdr:spPr>
        <a:xfrm>
          <a:off x="0" y="11217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786</xdr:row>
      <xdr:rowOff>0</xdr:rowOff>
    </xdr:from>
    <xdr:to>
      <xdr:col>0</xdr:col>
      <xdr:colOff>323850</xdr:colOff>
      <xdr:row>787</xdr:row>
      <xdr:rowOff>120650</xdr:rowOff>
    </xdr:to>
    <xdr:sp macro="" textlink="">
      <xdr:nvSpPr>
        <xdr:cNvPr id="255" name="Frame 254">
          <a:extLst>
            <a:ext uri="{FF2B5EF4-FFF2-40B4-BE49-F238E27FC236}">
              <a16:creationId xmlns:a16="http://schemas.microsoft.com/office/drawing/2014/main" id="{71A00FCC-86D5-4B49-9062-3318664A37BC}"/>
            </a:ext>
          </a:extLst>
        </xdr:cNvPr>
        <xdr:cNvSpPr/>
      </xdr:nvSpPr>
      <xdr:spPr>
        <a:xfrm>
          <a:off x="0" y="10775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788</xdr:row>
      <xdr:rowOff>0</xdr:rowOff>
    </xdr:from>
    <xdr:to>
      <xdr:col>0</xdr:col>
      <xdr:colOff>323850</xdr:colOff>
      <xdr:row>789</xdr:row>
      <xdr:rowOff>120650</xdr:rowOff>
    </xdr:to>
    <xdr:sp macro="" textlink="">
      <xdr:nvSpPr>
        <xdr:cNvPr id="256" name="Frame 255">
          <a:extLst>
            <a:ext uri="{FF2B5EF4-FFF2-40B4-BE49-F238E27FC236}">
              <a16:creationId xmlns:a16="http://schemas.microsoft.com/office/drawing/2014/main" id="{70F535D4-602A-40A0-858E-3336D6F3368C}"/>
            </a:ext>
          </a:extLst>
        </xdr:cNvPr>
        <xdr:cNvSpPr/>
      </xdr:nvSpPr>
      <xdr:spPr>
        <a:xfrm>
          <a:off x="0" y="10812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790</xdr:row>
      <xdr:rowOff>0</xdr:rowOff>
    </xdr:from>
    <xdr:to>
      <xdr:col>0</xdr:col>
      <xdr:colOff>323850</xdr:colOff>
      <xdr:row>791</xdr:row>
      <xdr:rowOff>120650</xdr:rowOff>
    </xdr:to>
    <xdr:sp macro="" textlink="">
      <xdr:nvSpPr>
        <xdr:cNvPr id="257" name="Frame 256">
          <a:extLst>
            <a:ext uri="{FF2B5EF4-FFF2-40B4-BE49-F238E27FC236}">
              <a16:creationId xmlns:a16="http://schemas.microsoft.com/office/drawing/2014/main" id="{6ECB6B78-34C1-4083-A2B8-ECC79710FF8A}"/>
            </a:ext>
          </a:extLst>
        </xdr:cNvPr>
        <xdr:cNvSpPr/>
      </xdr:nvSpPr>
      <xdr:spPr>
        <a:xfrm>
          <a:off x="0" y="10849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792</xdr:row>
      <xdr:rowOff>0</xdr:rowOff>
    </xdr:from>
    <xdr:to>
      <xdr:col>0</xdr:col>
      <xdr:colOff>323850</xdr:colOff>
      <xdr:row>793</xdr:row>
      <xdr:rowOff>120650</xdr:rowOff>
    </xdr:to>
    <xdr:sp macro="" textlink="">
      <xdr:nvSpPr>
        <xdr:cNvPr id="258" name="Frame 257">
          <a:extLst>
            <a:ext uri="{FF2B5EF4-FFF2-40B4-BE49-F238E27FC236}">
              <a16:creationId xmlns:a16="http://schemas.microsoft.com/office/drawing/2014/main" id="{316BACDF-D22E-41F2-8FC3-F0C591169D97}"/>
            </a:ext>
          </a:extLst>
        </xdr:cNvPr>
        <xdr:cNvSpPr/>
      </xdr:nvSpPr>
      <xdr:spPr>
        <a:xfrm>
          <a:off x="0" y="10886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794</xdr:row>
      <xdr:rowOff>0</xdr:rowOff>
    </xdr:from>
    <xdr:to>
      <xdr:col>0</xdr:col>
      <xdr:colOff>323850</xdr:colOff>
      <xdr:row>795</xdr:row>
      <xdr:rowOff>120650</xdr:rowOff>
    </xdr:to>
    <xdr:sp macro="" textlink="">
      <xdr:nvSpPr>
        <xdr:cNvPr id="259" name="Frame 258">
          <a:extLst>
            <a:ext uri="{FF2B5EF4-FFF2-40B4-BE49-F238E27FC236}">
              <a16:creationId xmlns:a16="http://schemas.microsoft.com/office/drawing/2014/main" id="{62153ACD-53DD-44A8-86F0-FC4C09FD09BB}"/>
            </a:ext>
          </a:extLst>
        </xdr:cNvPr>
        <xdr:cNvSpPr/>
      </xdr:nvSpPr>
      <xdr:spPr>
        <a:xfrm>
          <a:off x="0" y="10923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796</xdr:row>
      <xdr:rowOff>0</xdr:rowOff>
    </xdr:from>
    <xdr:to>
      <xdr:col>0</xdr:col>
      <xdr:colOff>323850</xdr:colOff>
      <xdr:row>797</xdr:row>
      <xdr:rowOff>120650</xdr:rowOff>
    </xdr:to>
    <xdr:sp macro="" textlink="">
      <xdr:nvSpPr>
        <xdr:cNvPr id="260" name="Frame 259">
          <a:extLst>
            <a:ext uri="{FF2B5EF4-FFF2-40B4-BE49-F238E27FC236}">
              <a16:creationId xmlns:a16="http://schemas.microsoft.com/office/drawing/2014/main" id="{6339B698-09D2-47C4-93A8-6FD329919B34}"/>
            </a:ext>
          </a:extLst>
        </xdr:cNvPr>
        <xdr:cNvSpPr/>
      </xdr:nvSpPr>
      <xdr:spPr>
        <a:xfrm>
          <a:off x="0" y="10960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798</xdr:row>
      <xdr:rowOff>0</xdr:rowOff>
    </xdr:from>
    <xdr:to>
      <xdr:col>0</xdr:col>
      <xdr:colOff>323850</xdr:colOff>
      <xdr:row>799</xdr:row>
      <xdr:rowOff>120650</xdr:rowOff>
    </xdr:to>
    <xdr:sp macro="" textlink="">
      <xdr:nvSpPr>
        <xdr:cNvPr id="261" name="Frame 260">
          <a:extLst>
            <a:ext uri="{FF2B5EF4-FFF2-40B4-BE49-F238E27FC236}">
              <a16:creationId xmlns:a16="http://schemas.microsoft.com/office/drawing/2014/main" id="{9BC4A5AD-3537-4725-A5DB-C68345B8A05E}"/>
            </a:ext>
          </a:extLst>
        </xdr:cNvPr>
        <xdr:cNvSpPr/>
      </xdr:nvSpPr>
      <xdr:spPr>
        <a:xfrm>
          <a:off x="0" y="10996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800</xdr:row>
      <xdr:rowOff>0</xdr:rowOff>
    </xdr:from>
    <xdr:to>
      <xdr:col>0</xdr:col>
      <xdr:colOff>323850</xdr:colOff>
      <xdr:row>801</xdr:row>
      <xdr:rowOff>120650</xdr:rowOff>
    </xdr:to>
    <xdr:sp macro="" textlink="">
      <xdr:nvSpPr>
        <xdr:cNvPr id="262" name="Frame 261">
          <a:extLst>
            <a:ext uri="{FF2B5EF4-FFF2-40B4-BE49-F238E27FC236}">
              <a16:creationId xmlns:a16="http://schemas.microsoft.com/office/drawing/2014/main" id="{E943DDD3-1749-4617-B9CF-8D3C7816C639}"/>
            </a:ext>
          </a:extLst>
        </xdr:cNvPr>
        <xdr:cNvSpPr/>
      </xdr:nvSpPr>
      <xdr:spPr>
        <a:xfrm>
          <a:off x="0" y="11033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824</xdr:row>
      <xdr:rowOff>177800</xdr:rowOff>
    </xdr:from>
    <xdr:to>
      <xdr:col>0</xdr:col>
      <xdr:colOff>330200</xdr:colOff>
      <xdr:row>826</xdr:row>
      <xdr:rowOff>114300</xdr:rowOff>
    </xdr:to>
    <xdr:sp macro="" textlink="">
      <xdr:nvSpPr>
        <xdr:cNvPr id="263" name="Frame 262">
          <a:extLst>
            <a:ext uri="{FF2B5EF4-FFF2-40B4-BE49-F238E27FC236}">
              <a16:creationId xmlns:a16="http://schemas.microsoft.com/office/drawing/2014/main" id="{58921F49-04BD-4DBB-BBAF-BD25C4529FF1}"/>
            </a:ext>
          </a:extLst>
        </xdr:cNvPr>
        <xdr:cNvSpPr/>
      </xdr:nvSpPr>
      <xdr:spPr>
        <a:xfrm>
          <a:off x="6350" y="120630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827</xdr:row>
      <xdr:rowOff>0</xdr:rowOff>
    </xdr:from>
    <xdr:to>
      <xdr:col>0</xdr:col>
      <xdr:colOff>323850</xdr:colOff>
      <xdr:row>828</xdr:row>
      <xdr:rowOff>120650</xdr:rowOff>
    </xdr:to>
    <xdr:sp macro="" textlink="">
      <xdr:nvSpPr>
        <xdr:cNvPr id="264" name="Frame 263">
          <a:extLst>
            <a:ext uri="{FF2B5EF4-FFF2-40B4-BE49-F238E27FC236}">
              <a16:creationId xmlns:a16="http://schemas.microsoft.com/office/drawing/2014/main" id="{1A70AF9B-B3E7-4C07-9C51-D89BC037BF60}"/>
            </a:ext>
          </a:extLst>
        </xdr:cNvPr>
        <xdr:cNvSpPr/>
      </xdr:nvSpPr>
      <xdr:spPr>
        <a:xfrm>
          <a:off x="0" y="12100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829</xdr:row>
      <xdr:rowOff>0</xdr:rowOff>
    </xdr:from>
    <xdr:to>
      <xdr:col>0</xdr:col>
      <xdr:colOff>323850</xdr:colOff>
      <xdr:row>830</xdr:row>
      <xdr:rowOff>120650</xdr:rowOff>
    </xdr:to>
    <xdr:sp macro="" textlink="">
      <xdr:nvSpPr>
        <xdr:cNvPr id="265" name="Frame 264">
          <a:extLst>
            <a:ext uri="{FF2B5EF4-FFF2-40B4-BE49-F238E27FC236}">
              <a16:creationId xmlns:a16="http://schemas.microsoft.com/office/drawing/2014/main" id="{C1B32DE5-B135-48AD-A469-D90A0FCB4101}"/>
            </a:ext>
          </a:extLst>
        </xdr:cNvPr>
        <xdr:cNvSpPr/>
      </xdr:nvSpPr>
      <xdr:spPr>
        <a:xfrm>
          <a:off x="0" y="12137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831</xdr:row>
      <xdr:rowOff>0</xdr:rowOff>
    </xdr:from>
    <xdr:to>
      <xdr:col>0</xdr:col>
      <xdr:colOff>323850</xdr:colOff>
      <xdr:row>832</xdr:row>
      <xdr:rowOff>120650</xdr:rowOff>
    </xdr:to>
    <xdr:sp macro="" textlink="">
      <xdr:nvSpPr>
        <xdr:cNvPr id="266" name="Frame 265">
          <a:extLst>
            <a:ext uri="{FF2B5EF4-FFF2-40B4-BE49-F238E27FC236}">
              <a16:creationId xmlns:a16="http://schemas.microsoft.com/office/drawing/2014/main" id="{33E029A7-4622-4153-8A3D-28D8AE376563}"/>
            </a:ext>
          </a:extLst>
        </xdr:cNvPr>
        <xdr:cNvSpPr/>
      </xdr:nvSpPr>
      <xdr:spPr>
        <a:xfrm>
          <a:off x="0" y="12174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833</xdr:row>
      <xdr:rowOff>0</xdr:rowOff>
    </xdr:from>
    <xdr:to>
      <xdr:col>0</xdr:col>
      <xdr:colOff>323850</xdr:colOff>
      <xdr:row>834</xdr:row>
      <xdr:rowOff>120650</xdr:rowOff>
    </xdr:to>
    <xdr:sp macro="" textlink="">
      <xdr:nvSpPr>
        <xdr:cNvPr id="267" name="Frame 266">
          <a:extLst>
            <a:ext uri="{FF2B5EF4-FFF2-40B4-BE49-F238E27FC236}">
              <a16:creationId xmlns:a16="http://schemas.microsoft.com/office/drawing/2014/main" id="{BBA62FEB-182D-4A1A-B7FC-F9D66B71C9BB}"/>
            </a:ext>
          </a:extLst>
        </xdr:cNvPr>
        <xdr:cNvSpPr/>
      </xdr:nvSpPr>
      <xdr:spPr>
        <a:xfrm>
          <a:off x="0" y="12211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835</xdr:row>
      <xdr:rowOff>0</xdr:rowOff>
    </xdr:from>
    <xdr:to>
      <xdr:col>0</xdr:col>
      <xdr:colOff>323850</xdr:colOff>
      <xdr:row>836</xdr:row>
      <xdr:rowOff>120650</xdr:rowOff>
    </xdr:to>
    <xdr:sp macro="" textlink="">
      <xdr:nvSpPr>
        <xdr:cNvPr id="268" name="Frame 267">
          <a:extLst>
            <a:ext uri="{FF2B5EF4-FFF2-40B4-BE49-F238E27FC236}">
              <a16:creationId xmlns:a16="http://schemas.microsoft.com/office/drawing/2014/main" id="{2C65A866-EF64-44AA-B6AC-10B1ACE71727}"/>
            </a:ext>
          </a:extLst>
        </xdr:cNvPr>
        <xdr:cNvSpPr/>
      </xdr:nvSpPr>
      <xdr:spPr>
        <a:xfrm>
          <a:off x="0" y="12247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837</xdr:row>
      <xdr:rowOff>0</xdr:rowOff>
    </xdr:from>
    <xdr:to>
      <xdr:col>0</xdr:col>
      <xdr:colOff>323850</xdr:colOff>
      <xdr:row>838</xdr:row>
      <xdr:rowOff>120650</xdr:rowOff>
    </xdr:to>
    <xdr:sp macro="" textlink="">
      <xdr:nvSpPr>
        <xdr:cNvPr id="269" name="Frame 268">
          <a:extLst>
            <a:ext uri="{FF2B5EF4-FFF2-40B4-BE49-F238E27FC236}">
              <a16:creationId xmlns:a16="http://schemas.microsoft.com/office/drawing/2014/main" id="{6D59D387-22D5-49C6-B7CB-48E7A88EF54B}"/>
            </a:ext>
          </a:extLst>
        </xdr:cNvPr>
        <xdr:cNvSpPr/>
      </xdr:nvSpPr>
      <xdr:spPr>
        <a:xfrm>
          <a:off x="0" y="12284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839</xdr:row>
      <xdr:rowOff>0</xdr:rowOff>
    </xdr:from>
    <xdr:to>
      <xdr:col>0</xdr:col>
      <xdr:colOff>323850</xdr:colOff>
      <xdr:row>840</xdr:row>
      <xdr:rowOff>120650</xdr:rowOff>
    </xdr:to>
    <xdr:sp macro="" textlink="">
      <xdr:nvSpPr>
        <xdr:cNvPr id="270" name="Frame 269">
          <a:extLst>
            <a:ext uri="{FF2B5EF4-FFF2-40B4-BE49-F238E27FC236}">
              <a16:creationId xmlns:a16="http://schemas.microsoft.com/office/drawing/2014/main" id="{9D9184AA-8447-45AC-9643-42E2BF1417C1}"/>
            </a:ext>
          </a:extLst>
        </xdr:cNvPr>
        <xdr:cNvSpPr/>
      </xdr:nvSpPr>
      <xdr:spPr>
        <a:xfrm>
          <a:off x="0" y="12321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853</xdr:row>
      <xdr:rowOff>177800</xdr:rowOff>
    </xdr:from>
    <xdr:to>
      <xdr:col>0</xdr:col>
      <xdr:colOff>330200</xdr:colOff>
      <xdr:row>855</xdr:row>
      <xdr:rowOff>114300</xdr:rowOff>
    </xdr:to>
    <xdr:sp macro="" textlink="">
      <xdr:nvSpPr>
        <xdr:cNvPr id="274" name="Frame 273">
          <a:extLst>
            <a:ext uri="{FF2B5EF4-FFF2-40B4-BE49-F238E27FC236}">
              <a16:creationId xmlns:a16="http://schemas.microsoft.com/office/drawing/2014/main" id="{1158271B-A1B2-4970-A5B9-937A289BB425}"/>
            </a:ext>
          </a:extLst>
        </xdr:cNvPr>
        <xdr:cNvSpPr/>
      </xdr:nvSpPr>
      <xdr:spPr>
        <a:xfrm>
          <a:off x="6350" y="13535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856</xdr:row>
      <xdr:rowOff>0</xdr:rowOff>
    </xdr:from>
    <xdr:to>
      <xdr:col>0</xdr:col>
      <xdr:colOff>323850</xdr:colOff>
      <xdr:row>857</xdr:row>
      <xdr:rowOff>120650</xdr:rowOff>
    </xdr:to>
    <xdr:sp macro="" textlink="">
      <xdr:nvSpPr>
        <xdr:cNvPr id="275" name="Frame 274">
          <a:extLst>
            <a:ext uri="{FF2B5EF4-FFF2-40B4-BE49-F238E27FC236}">
              <a16:creationId xmlns:a16="http://schemas.microsoft.com/office/drawing/2014/main" id="{E44F4791-4429-43E7-B673-969204AE8EE9}"/>
            </a:ext>
          </a:extLst>
        </xdr:cNvPr>
        <xdr:cNvSpPr/>
      </xdr:nvSpPr>
      <xdr:spPr>
        <a:xfrm>
          <a:off x="0" y="135724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858</xdr:row>
      <xdr:rowOff>0</xdr:rowOff>
    </xdr:from>
    <xdr:to>
      <xdr:col>0</xdr:col>
      <xdr:colOff>323850</xdr:colOff>
      <xdr:row>859</xdr:row>
      <xdr:rowOff>120650</xdr:rowOff>
    </xdr:to>
    <xdr:sp macro="" textlink="">
      <xdr:nvSpPr>
        <xdr:cNvPr id="276" name="Frame 275">
          <a:extLst>
            <a:ext uri="{FF2B5EF4-FFF2-40B4-BE49-F238E27FC236}">
              <a16:creationId xmlns:a16="http://schemas.microsoft.com/office/drawing/2014/main" id="{58FB733B-4482-4E3C-B4A7-5C963404C29E}"/>
            </a:ext>
          </a:extLst>
        </xdr:cNvPr>
        <xdr:cNvSpPr/>
      </xdr:nvSpPr>
      <xdr:spPr>
        <a:xfrm>
          <a:off x="0" y="136093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860</xdr:row>
      <xdr:rowOff>0</xdr:rowOff>
    </xdr:from>
    <xdr:to>
      <xdr:col>0</xdr:col>
      <xdr:colOff>323850</xdr:colOff>
      <xdr:row>861</xdr:row>
      <xdr:rowOff>120650</xdr:rowOff>
    </xdr:to>
    <xdr:sp macro="" textlink="">
      <xdr:nvSpPr>
        <xdr:cNvPr id="277" name="Frame 276">
          <a:extLst>
            <a:ext uri="{FF2B5EF4-FFF2-40B4-BE49-F238E27FC236}">
              <a16:creationId xmlns:a16="http://schemas.microsoft.com/office/drawing/2014/main" id="{B370C86C-C34D-4783-8E5B-477CDCADC814}"/>
            </a:ext>
          </a:extLst>
        </xdr:cNvPr>
        <xdr:cNvSpPr/>
      </xdr:nvSpPr>
      <xdr:spPr>
        <a:xfrm>
          <a:off x="0" y="13646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862</xdr:row>
      <xdr:rowOff>0</xdr:rowOff>
    </xdr:from>
    <xdr:to>
      <xdr:col>0</xdr:col>
      <xdr:colOff>323850</xdr:colOff>
      <xdr:row>863</xdr:row>
      <xdr:rowOff>120650</xdr:rowOff>
    </xdr:to>
    <xdr:sp macro="" textlink="">
      <xdr:nvSpPr>
        <xdr:cNvPr id="278" name="Frame 277">
          <a:extLst>
            <a:ext uri="{FF2B5EF4-FFF2-40B4-BE49-F238E27FC236}">
              <a16:creationId xmlns:a16="http://schemas.microsoft.com/office/drawing/2014/main" id="{EFFA656D-949E-4A9F-BEC2-059C49AE3378}"/>
            </a:ext>
          </a:extLst>
        </xdr:cNvPr>
        <xdr:cNvSpPr/>
      </xdr:nvSpPr>
      <xdr:spPr>
        <a:xfrm>
          <a:off x="0" y="13682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864</xdr:row>
      <xdr:rowOff>0</xdr:rowOff>
    </xdr:from>
    <xdr:to>
      <xdr:col>0</xdr:col>
      <xdr:colOff>323850</xdr:colOff>
      <xdr:row>865</xdr:row>
      <xdr:rowOff>120650</xdr:rowOff>
    </xdr:to>
    <xdr:sp macro="" textlink="">
      <xdr:nvSpPr>
        <xdr:cNvPr id="279" name="Frame 278">
          <a:extLst>
            <a:ext uri="{FF2B5EF4-FFF2-40B4-BE49-F238E27FC236}">
              <a16:creationId xmlns:a16="http://schemas.microsoft.com/office/drawing/2014/main" id="{2E7C06A3-D866-46C3-9ED8-D1D50903EEB9}"/>
            </a:ext>
          </a:extLst>
        </xdr:cNvPr>
        <xdr:cNvSpPr/>
      </xdr:nvSpPr>
      <xdr:spPr>
        <a:xfrm>
          <a:off x="0" y="13719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866</xdr:row>
      <xdr:rowOff>0</xdr:rowOff>
    </xdr:from>
    <xdr:to>
      <xdr:col>0</xdr:col>
      <xdr:colOff>323850</xdr:colOff>
      <xdr:row>867</xdr:row>
      <xdr:rowOff>120650</xdr:rowOff>
    </xdr:to>
    <xdr:sp macro="" textlink="">
      <xdr:nvSpPr>
        <xdr:cNvPr id="280" name="Frame 279">
          <a:extLst>
            <a:ext uri="{FF2B5EF4-FFF2-40B4-BE49-F238E27FC236}">
              <a16:creationId xmlns:a16="http://schemas.microsoft.com/office/drawing/2014/main" id="{99982FE3-0AD8-4F0C-A7B4-C44411646443}"/>
            </a:ext>
          </a:extLst>
        </xdr:cNvPr>
        <xdr:cNvSpPr/>
      </xdr:nvSpPr>
      <xdr:spPr>
        <a:xfrm>
          <a:off x="0" y="13756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868</xdr:row>
      <xdr:rowOff>0</xdr:rowOff>
    </xdr:from>
    <xdr:to>
      <xdr:col>0</xdr:col>
      <xdr:colOff>323850</xdr:colOff>
      <xdr:row>869</xdr:row>
      <xdr:rowOff>120650</xdr:rowOff>
    </xdr:to>
    <xdr:sp macro="" textlink="">
      <xdr:nvSpPr>
        <xdr:cNvPr id="281" name="Frame 280">
          <a:extLst>
            <a:ext uri="{FF2B5EF4-FFF2-40B4-BE49-F238E27FC236}">
              <a16:creationId xmlns:a16="http://schemas.microsoft.com/office/drawing/2014/main" id="{9789C534-E794-4A04-B144-30671FF20065}"/>
            </a:ext>
          </a:extLst>
        </xdr:cNvPr>
        <xdr:cNvSpPr/>
      </xdr:nvSpPr>
      <xdr:spPr>
        <a:xfrm>
          <a:off x="0" y="13793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870</xdr:row>
      <xdr:rowOff>0</xdr:rowOff>
    </xdr:from>
    <xdr:to>
      <xdr:col>0</xdr:col>
      <xdr:colOff>323850</xdr:colOff>
      <xdr:row>871</xdr:row>
      <xdr:rowOff>120650</xdr:rowOff>
    </xdr:to>
    <xdr:sp macro="" textlink="">
      <xdr:nvSpPr>
        <xdr:cNvPr id="288" name="Frame 287">
          <a:extLst>
            <a:ext uri="{FF2B5EF4-FFF2-40B4-BE49-F238E27FC236}">
              <a16:creationId xmlns:a16="http://schemas.microsoft.com/office/drawing/2014/main" id="{E9306C7B-595D-49C9-B6B2-9349D0F2C113}"/>
            </a:ext>
          </a:extLst>
        </xdr:cNvPr>
        <xdr:cNvSpPr/>
      </xdr:nvSpPr>
      <xdr:spPr>
        <a:xfrm>
          <a:off x="0" y="13830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872</xdr:row>
      <xdr:rowOff>0</xdr:rowOff>
    </xdr:from>
    <xdr:to>
      <xdr:col>0</xdr:col>
      <xdr:colOff>323850</xdr:colOff>
      <xdr:row>873</xdr:row>
      <xdr:rowOff>120650</xdr:rowOff>
    </xdr:to>
    <xdr:sp macro="" textlink="">
      <xdr:nvSpPr>
        <xdr:cNvPr id="289" name="Frame 288">
          <a:extLst>
            <a:ext uri="{FF2B5EF4-FFF2-40B4-BE49-F238E27FC236}">
              <a16:creationId xmlns:a16="http://schemas.microsoft.com/office/drawing/2014/main" id="{67FE1B88-DBC6-419E-A392-F026EA0D8CB8}"/>
            </a:ext>
          </a:extLst>
        </xdr:cNvPr>
        <xdr:cNvSpPr/>
      </xdr:nvSpPr>
      <xdr:spPr>
        <a:xfrm>
          <a:off x="0" y="13867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0</xdr:col>
      <xdr:colOff>323850</xdr:colOff>
      <xdr:row>875</xdr:row>
      <xdr:rowOff>120650</xdr:rowOff>
    </xdr:to>
    <xdr:sp macro="" textlink="">
      <xdr:nvSpPr>
        <xdr:cNvPr id="290" name="Frame 289">
          <a:extLst>
            <a:ext uri="{FF2B5EF4-FFF2-40B4-BE49-F238E27FC236}">
              <a16:creationId xmlns:a16="http://schemas.microsoft.com/office/drawing/2014/main" id="{2D13C8D6-B5E2-4C3D-AF6D-F0BC18FE1E7D}"/>
            </a:ext>
          </a:extLst>
        </xdr:cNvPr>
        <xdr:cNvSpPr/>
      </xdr:nvSpPr>
      <xdr:spPr>
        <a:xfrm>
          <a:off x="0" y="13903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876</xdr:row>
      <xdr:rowOff>0</xdr:rowOff>
    </xdr:from>
    <xdr:to>
      <xdr:col>0</xdr:col>
      <xdr:colOff>323850</xdr:colOff>
      <xdr:row>877</xdr:row>
      <xdr:rowOff>120650</xdr:rowOff>
    </xdr:to>
    <xdr:sp macro="" textlink="">
      <xdr:nvSpPr>
        <xdr:cNvPr id="291" name="Frame 290">
          <a:extLst>
            <a:ext uri="{FF2B5EF4-FFF2-40B4-BE49-F238E27FC236}">
              <a16:creationId xmlns:a16="http://schemas.microsoft.com/office/drawing/2014/main" id="{18A83904-AA1F-4B9A-9D2D-27AAC83EE67D}"/>
            </a:ext>
          </a:extLst>
        </xdr:cNvPr>
        <xdr:cNvSpPr/>
      </xdr:nvSpPr>
      <xdr:spPr>
        <a:xfrm>
          <a:off x="0" y="13940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895</xdr:row>
      <xdr:rowOff>177800</xdr:rowOff>
    </xdr:from>
    <xdr:to>
      <xdr:col>0</xdr:col>
      <xdr:colOff>330200</xdr:colOff>
      <xdr:row>897</xdr:row>
      <xdr:rowOff>114300</xdr:rowOff>
    </xdr:to>
    <xdr:sp macro="" textlink="">
      <xdr:nvSpPr>
        <xdr:cNvPr id="296" name="Frame 295">
          <a:extLst>
            <a:ext uri="{FF2B5EF4-FFF2-40B4-BE49-F238E27FC236}">
              <a16:creationId xmlns:a16="http://schemas.microsoft.com/office/drawing/2014/main" id="{0F9523AB-B17E-4DA1-97A2-AD4D97B50824}"/>
            </a:ext>
          </a:extLst>
        </xdr:cNvPr>
        <xdr:cNvSpPr/>
      </xdr:nvSpPr>
      <xdr:spPr>
        <a:xfrm>
          <a:off x="6350" y="13535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898</xdr:row>
      <xdr:rowOff>0</xdr:rowOff>
    </xdr:from>
    <xdr:to>
      <xdr:col>0</xdr:col>
      <xdr:colOff>323850</xdr:colOff>
      <xdr:row>899</xdr:row>
      <xdr:rowOff>120650</xdr:rowOff>
    </xdr:to>
    <xdr:sp macro="" textlink="">
      <xdr:nvSpPr>
        <xdr:cNvPr id="297" name="Frame 296">
          <a:extLst>
            <a:ext uri="{FF2B5EF4-FFF2-40B4-BE49-F238E27FC236}">
              <a16:creationId xmlns:a16="http://schemas.microsoft.com/office/drawing/2014/main" id="{659AC84E-8CE7-48BD-B199-4E16831B0444}"/>
            </a:ext>
          </a:extLst>
        </xdr:cNvPr>
        <xdr:cNvSpPr/>
      </xdr:nvSpPr>
      <xdr:spPr>
        <a:xfrm>
          <a:off x="0" y="135724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900</xdr:row>
      <xdr:rowOff>0</xdr:rowOff>
    </xdr:from>
    <xdr:to>
      <xdr:col>0</xdr:col>
      <xdr:colOff>323850</xdr:colOff>
      <xdr:row>901</xdr:row>
      <xdr:rowOff>120650</xdr:rowOff>
    </xdr:to>
    <xdr:sp macro="" textlink="">
      <xdr:nvSpPr>
        <xdr:cNvPr id="298" name="Frame 297">
          <a:extLst>
            <a:ext uri="{FF2B5EF4-FFF2-40B4-BE49-F238E27FC236}">
              <a16:creationId xmlns:a16="http://schemas.microsoft.com/office/drawing/2014/main" id="{B1320D22-96F8-4912-AE27-7D6BCBC86FD5}"/>
            </a:ext>
          </a:extLst>
        </xdr:cNvPr>
        <xdr:cNvSpPr/>
      </xdr:nvSpPr>
      <xdr:spPr>
        <a:xfrm>
          <a:off x="0" y="136093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902</xdr:row>
      <xdr:rowOff>0</xdr:rowOff>
    </xdr:from>
    <xdr:to>
      <xdr:col>0</xdr:col>
      <xdr:colOff>323850</xdr:colOff>
      <xdr:row>903</xdr:row>
      <xdr:rowOff>120650</xdr:rowOff>
    </xdr:to>
    <xdr:sp macro="" textlink="">
      <xdr:nvSpPr>
        <xdr:cNvPr id="299" name="Frame 298">
          <a:extLst>
            <a:ext uri="{FF2B5EF4-FFF2-40B4-BE49-F238E27FC236}">
              <a16:creationId xmlns:a16="http://schemas.microsoft.com/office/drawing/2014/main" id="{87E331C7-050C-4ECA-8DAB-A1B191929EA3}"/>
            </a:ext>
          </a:extLst>
        </xdr:cNvPr>
        <xdr:cNvSpPr/>
      </xdr:nvSpPr>
      <xdr:spPr>
        <a:xfrm>
          <a:off x="0" y="13646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904</xdr:row>
      <xdr:rowOff>0</xdr:rowOff>
    </xdr:from>
    <xdr:to>
      <xdr:col>0</xdr:col>
      <xdr:colOff>323850</xdr:colOff>
      <xdr:row>905</xdr:row>
      <xdr:rowOff>120650</xdr:rowOff>
    </xdr:to>
    <xdr:sp macro="" textlink="">
      <xdr:nvSpPr>
        <xdr:cNvPr id="300" name="Frame 299">
          <a:extLst>
            <a:ext uri="{FF2B5EF4-FFF2-40B4-BE49-F238E27FC236}">
              <a16:creationId xmlns:a16="http://schemas.microsoft.com/office/drawing/2014/main" id="{D3A99328-D133-4B4E-A026-8BFC561858CF}"/>
            </a:ext>
          </a:extLst>
        </xdr:cNvPr>
        <xdr:cNvSpPr/>
      </xdr:nvSpPr>
      <xdr:spPr>
        <a:xfrm>
          <a:off x="0" y="13682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906</xdr:row>
      <xdr:rowOff>0</xdr:rowOff>
    </xdr:from>
    <xdr:to>
      <xdr:col>0</xdr:col>
      <xdr:colOff>323850</xdr:colOff>
      <xdr:row>907</xdr:row>
      <xdr:rowOff>120650</xdr:rowOff>
    </xdr:to>
    <xdr:sp macro="" textlink="">
      <xdr:nvSpPr>
        <xdr:cNvPr id="301" name="Frame 300">
          <a:extLst>
            <a:ext uri="{FF2B5EF4-FFF2-40B4-BE49-F238E27FC236}">
              <a16:creationId xmlns:a16="http://schemas.microsoft.com/office/drawing/2014/main" id="{47C567EE-5002-4783-B7D1-85A2463008E5}"/>
            </a:ext>
          </a:extLst>
        </xdr:cNvPr>
        <xdr:cNvSpPr/>
      </xdr:nvSpPr>
      <xdr:spPr>
        <a:xfrm>
          <a:off x="0" y="13719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908</xdr:row>
      <xdr:rowOff>0</xdr:rowOff>
    </xdr:from>
    <xdr:to>
      <xdr:col>0</xdr:col>
      <xdr:colOff>323850</xdr:colOff>
      <xdr:row>909</xdr:row>
      <xdr:rowOff>120650</xdr:rowOff>
    </xdr:to>
    <xdr:sp macro="" textlink="">
      <xdr:nvSpPr>
        <xdr:cNvPr id="302" name="Frame 301">
          <a:extLst>
            <a:ext uri="{FF2B5EF4-FFF2-40B4-BE49-F238E27FC236}">
              <a16:creationId xmlns:a16="http://schemas.microsoft.com/office/drawing/2014/main" id="{3DDDD91A-3167-46B8-86DD-4E4DD25E146D}"/>
            </a:ext>
          </a:extLst>
        </xdr:cNvPr>
        <xdr:cNvSpPr/>
      </xdr:nvSpPr>
      <xdr:spPr>
        <a:xfrm>
          <a:off x="0" y="13756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910</xdr:row>
      <xdr:rowOff>0</xdr:rowOff>
    </xdr:from>
    <xdr:to>
      <xdr:col>0</xdr:col>
      <xdr:colOff>323850</xdr:colOff>
      <xdr:row>911</xdr:row>
      <xdr:rowOff>120650</xdr:rowOff>
    </xdr:to>
    <xdr:sp macro="" textlink="">
      <xdr:nvSpPr>
        <xdr:cNvPr id="303" name="Frame 302">
          <a:extLst>
            <a:ext uri="{FF2B5EF4-FFF2-40B4-BE49-F238E27FC236}">
              <a16:creationId xmlns:a16="http://schemas.microsoft.com/office/drawing/2014/main" id="{A7A0755D-37EA-47AC-AD93-26BF3ADF35A3}"/>
            </a:ext>
          </a:extLst>
        </xdr:cNvPr>
        <xdr:cNvSpPr/>
      </xdr:nvSpPr>
      <xdr:spPr>
        <a:xfrm>
          <a:off x="0" y="13793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928</xdr:row>
      <xdr:rowOff>0</xdr:rowOff>
    </xdr:from>
    <xdr:to>
      <xdr:col>0</xdr:col>
      <xdr:colOff>323850</xdr:colOff>
      <xdr:row>929</xdr:row>
      <xdr:rowOff>120650</xdr:rowOff>
    </xdr:to>
    <xdr:sp macro="" textlink="">
      <xdr:nvSpPr>
        <xdr:cNvPr id="304" name="Frame 303">
          <a:extLst>
            <a:ext uri="{FF2B5EF4-FFF2-40B4-BE49-F238E27FC236}">
              <a16:creationId xmlns:a16="http://schemas.microsoft.com/office/drawing/2014/main" id="{1088D81D-B51E-49E9-B88E-42139ECDC368}"/>
            </a:ext>
          </a:extLst>
        </xdr:cNvPr>
        <xdr:cNvSpPr/>
      </xdr:nvSpPr>
      <xdr:spPr>
        <a:xfrm>
          <a:off x="0" y="14124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930</xdr:row>
      <xdr:rowOff>0</xdr:rowOff>
    </xdr:from>
    <xdr:to>
      <xdr:col>0</xdr:col>
      <xdr:colOff>323850</xdr:colOff>
      <xdr:row>930</xdr:row>
      <xdr:rowOff>0</xdr:rowOff>
    </xdr:to>
    <xdr:sp macro="" textlink="">
      <xdr:nvSpPr>
        <xdr:cNvPr id="305" name="Frame 304">
          <a:extLst>
            <a:ext uri="{FF2B5EF4-FFF2-40B4-BE49-F238E27FC236}">
              <a16:creationId xmlns:a16="http://schemas.microsoft.com/office/drawing/2014/main" id="{802CE634-FF1B-45C4-95E6-4C634C8035CF}"/>
            </a:ext>
          </a:extLst>
        </xdr:cNvPr>
        <xdr:cNvSpPr/>
      </xdr:nvSpPr>
      <xdr:spPr>
        <a:xfrm>
          <a:off x="0" y="141617700"/>
          <a:ext cx="323850" cy="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930</xdr:row>
      <xdr:rowOff>0</xdr:rowOff>
    </xdr:from>
    <xdr:to>
      <xdr:col>0</xdr:col>
      <xdr:colOff>323850</xdr:colOff>
      <xdr:row>931</xdr:row>
      <xdr:rowOff>120650</xdr:rowOff>
    </xdr:to>
    <xdr:sp macro="" textlink="">
      <xdr:nvSpPr>
        <xdr:cNvPr id="306" name="Frame 305">
          <a:extLst>
            <a:ext uri="{FF2B5EF4-FFF2-40B4-BE49-F238E27FC236}">
              <a16:creationId xmlns:a16="http://schemas.microsoft.com/office/drawing/2014/main" id="{F3C99258-9C98-4C57-A7E8-4F2A680AB666}"/>
            </a:ext>
          </a:extLst>
        </xdr:cNvPr>
        <xdr:cNvSpPr/>
      </xdr:nvSpPr>
      <xdr:spPr>
        <a:xfrm>
          <a:off x="0" y="14161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932</xdr:row>
      <xdr:rowOff>0</xdr:rowOff>
    </xdr:from>
    <xdr:to>
      <xdr:col>0</xdr:col>
      <xdr:colOff>323850</xdr:colOff>
      <xdr:row>933</xdr:row>
      <xdr:rowOff>120650</xdr:rowOff>
    </xdr:to>
    <xdr:sp macro="" textlink="">
      <xdr:nvSpPr>
        <xdr:cNvPr id="307" name="Frame 306">
          <a:extLst>
            <a:ext uri="{FF2B5EF4-FFF2-40B4-BE49-F238E27FC236}">
              <a16:creationId xmlns:a16="http://schemas.microsoft.com/office/drawing/2014/main" id="{17F82937-0F41-486D-9763-9EF48329A412}"/>
            </a:ext>
          </a:extLst>
        </xdr:cNvPr>
        <xdr:cNvSpPr/>
      </xdr:nvSpPr>
      <xdr:spPr>
        <a:xfrm>
          <a:off x="0" y="14198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912</xdr:row>
      <xdr:rowOff>0</xdr:rowOff>
    </xdr:from>
    <xdr:to>
      <xdr:col>0</xdr:col>
      <xdr:colOff>323850</xdr:colOff>
      <xdr:row>913</xdr:row>
      <xdr:rowOff>120650</xdr:rowOff>
    </xdr:to>
    <xdr:sp macro="" textlink="">
      <xdr:nvSpPr>
        <xdr:cNvPr id="310" name="Frame 309">
          <a:extLst>
            <a:ext uri="{FF2B5EF4-FFF2-40B4-BE49-F238E27FC236}">
              <a16:creationId xmlns:a16="http://schemas.microsoft.com/office/drawing/2014/main" id="{198B5F3C-6DB8-4734-824A-89ADCBCCBD37}"/>
            </a:ext>
          </a:extLst>
        </xdr:cNvPr>
        <xdr:cNvSpPr/>
      </xdr:nvSpPr>
      <xdr:spPr>
        <a:xfrm>
          <a:off x="0" y="13830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914</xdr:row>
      <xdr:rowOff>0</xdr:rowOff>
    </xdr:from>
    <xdr:to>
      <xdr:col>0</xdr:col>
      <xdr:colOff>323850</xdr:colOff>
      <xdr:row>915</xdr:row>
      <xdr:rowOff>120650</xdr:rowOff>
    </xdr:to>
    <xdr:sp macro="" textlink="">
      <xdr:nvSpPr>
        <xdr:cNvPr id="311" name="Frame 310">
          <a:extLst>
            <a:ext uri="{FF2B5EF4-FFF2-40B4-BE49-F238E27FC236}">
              <a16:creationId xmlns:a16="http://schemas.microsoft.com/office/drawing/2014/main" id="{08D80CA9-8652-48B4-AF0B-DC7B42AC1A57}"/>
            </a:ext>
          </a:extLst>
        </xdr:cNvPr>
        <xdr:cNvSpPr/>
      </xdr:nvSpPr>
      <xdr:spPr>
        <a:xfrm>
          <a:off x="0" y="13867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916</xdr:row>
      <xdr:rowOff>0</xdr:rowOff>
    </xdr:from>
    <xdr:to>
      <xdr:col>0</xdr:col>
      <xdr:colOff>323850</xdr:colOff>
      <xdr:row>917</xdr:row>
      <xdr:rowOff>120650</xdr:rowOff>
    </xdr:to>
    <xdr:sp macro="" textlink="">
      <xdr:nvSpPr>
        <xdr:cNvPr id="312" name="Frame 311">
          <a:extLst>
            <a:ext uri="{FF2B5EF4-FFF2-40B4-BE49-F238E27FC236}">
              <a16:creationId xmlns:a16="http://schemas.microsoft.com/office/drawing/2014/main" id="{18FD87FB-DA1D-4911-8414-D94537864EDD}"/>
            </a:ext>
          </a:extLst>
        </xdr:cNvPr>
        <xdr:cNvSpPr/>
      </xdr:nvSpPr>
      <xdr:spPr>
        <a:xfrm>
          <a:off x="0" y="13903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918</xdr:row>
      <xdr:rowOff>0</xdr:rowOff>
    </xdr:from>
    <xdr:to>
      <xdr:col>0</xdr:col>
      <xdr:colOff>323850</xdr:colOff>
      <xdr:row>919</xdr:row>
      <xdr:rowOff>120650</xdr:rowOff>
    </xdr:to>
    <xdr:sp macro="" textlink="">
      <xdr:nvSpPr>
        <xdr:cNvPr id="313" name="Frame 312">
          <a:extLst>
            <a:ext uri="{FF2B5EF4-FFF2-40B4-BE49-F238E27FC236}">
              <a16:creationId xmlns:a16="http://schemas.microsoft.com/office/drawing/2014/main" id="{7325EB5B-3F95-47D0-ACBA-A24292C304D5}"/>
            </a:ext>
          </a:extLst>
        </xdr:cNvPr>
        <xdr:cNvSpPr/>
      </xdr:nvSpPr>
      <xdr:spPr>
        <a:xfrm>
          <a:off x="0" y="13940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920</xdr:row>
      <xdr:rowOff>0</xdr:rowOff>
    </xdr:from>
    <xdr:to>
      <xdr:col>0</xdr:col>
      <xdr:colOff>323850</xdr:colOff>
      <xdr:row>921</xdr:row>
      <xdr:rowOff>120650</xdr:rowOff>
    </xdr:to>
    <xdr:sp macro="" textlink="">
      <xdr:nvSpPr>
        <xdr:cNvPr id="314" name="Frame 313">
          <a:extLst>
            <a:ext uri="{FF2B5EF4-FFF2-40B4-BE49-F238E27FC236}">
              <a16:creationId xmlns:a16="http://schemas.microsoft.com/office/drawing/2014/main" id="{B0A7A7EB-7524-4FD8-A1A5-3B7995A019EA}"/>
            </a:ext>
          </a:extLst>
        </xdr:cNvPr>
        <xdr:cNvSpPr/>
      </xdr:nvSpPr>
      <xdr:spPr>
        <a:xfrm>
          <a:off x="0" y="13977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922</xdr:row>
      <xdr:rowOff>0</xdr:rowOff>
    </xdr:from>
    <xdr:to>
      <xdr:col>0</xdr:col>
      <xdr:colOff>323850</xdr:colOff>
      <xdr:row>923</xdr:row>
      <xdr:rowOff>120650</xdr:rowOff>
    </xdr:to>
    <xdr:sp macro="" textlink="">
      <xdr:nvSpPr>
        <xdr:cNvPr id="315" name="Frame 314">
          <a:extLst>
            <a:ext uri="{FF2B5EF4-FFF2-40B4-BE49-F238E27FC236}">
              <a16:creationId xmlns:a16="http://schemas.microsoft.com/office/drawing/2014/main" id="{BC3679BB-A4AF-463E-A4F9-C75B423EF19B}"/>
            </a:ext>
          </a:extLst>
        </xdr:cNvPr>
        <xdr:cNvSpPr/>
      </xdr:nvSpPr>
      <xdr:spPr>
        <a:xfrm>
          <a:off x="0" y="14014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924</xdr:row>
      <xdr:rowOff>0</xdr:rowOff>
    </xdr:from>
    <xdr:to>
      <xdr:col>0</xdr:col>
      <xdr:colOff>323850</xdr:colOff>
      <xdr:row>925</xdr:row>
      <xdr:rowOff>120650</xdr:rowOff>
    </xdr:to>
    <xdr:sp macro="" textlink="">
      <xdr:nvSpPr>
        <xdr:cNvPr id="316" name="Frame 315">
          <a:extLst>
            <a:ext uri="{FF2B5EF4-FFF2-40B4-BE49-F238E27FC236}">
              <a16:creationId xmlns:a16="http://schemas.microsoft.com/office/drawing/2014/main" id="{88B7264C-1163-4F8D-B201-F7D2D1458759}"/>
            </a:ext>
          </a:extLst>
        </xdr:cNvPr>
        <xdr:cNvSpPr/>
      </xdr:nvSpPr>
      <xdr:spPr>
        <a:xfrm>
          <a:off x="0" y="14051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926</xdr:row>
      <xdr:rowOff>0</xdr:rowOff>
    </xdr:from>
    <xdr:to>
      <xdr:col>0</xdr:col>
      <xdr:colOff>323850</xdr:colOff>
      <xdr:row>927</xdr:row>
      <xdr:rowOff>120650</xdr:rowOff>
    </xdr:to>
    <xdr:sp macro="" textlink="">
      <xdr:nvSpPr>
        <xdr:cNvPr id="317" name="Frame 316">
          <a:extLst>
            <a:ext uri="{FF2B5EF4-FFF2-40B4-BE49-F238E27FC236}">
              <a16:creationId xmlns:a16="http://schemas.microsoft.com/office/drawing/2014/main" id="{DC4FFBBB-7594-4363-9F51-9234B959FEDD}"/>
            </a:ext>
          </a:extLst>
        </xdr:cNvPr>
        <xdr:cNvSpPr/>
      </xdr:nvSpPr>
      <xdr:spPr>
        <a:xfrm>
          <a:off x="0" y="14088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951</xdr:row>
      <xdr:rowOff>177800</xdr:rowOff>
    </xdr:from>
    <xdr:to>
      <xdr:col>0</xdr:col>
      <xdr:colOff>330200</xdr:colOff>
      <xdr:row>953</xdr:row>
      <xdr:rowOff>114300</xdr:rowOff>
    </xdr:to>
    <xdr:sp macro="" textlink="">
      <xdr:nvSpPr>
        <xdr:cNvPr id="271" name="Frame 270">
          <a:extLst>
            <a:ext uri="{FF2B5EF4-FFF2-40B4-BE49-F238E27FC236}">
              <a16:creationId xmlns:a16="http://schemas.microsoft.com/office/drawing/2014/main" id="{E6932D7D-13B2-4E88-BE90-504CDA438FBC}"/>
            </a:ext>
          </a:extLst>
        </xdr:cNvPr>
        <xdr:cNvSpPr/>
      </xdr:nvSpPr>
      <xdr:spPr>
        <a:xfrm>
          <a:off x="6350" y="15853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954</xdr:row>
      <xdr:rowOff>0</xdr:rowOff>
    </xdr:from>
    <xdr:to>
      <xdr:col>0</xdr:col>
      <xdr:colOff>323850</xdr:colOff>
      <xdr:row>955</xdr:row>
      <xdr:rowOff>120650</xdr:rowOff>
    </xdr:to>
    <xdr:sp macro="" textlink="">
      <xdr:nvSpPr>
        <xdr:cNvPr id="272" name="Frame 271">
          <a:extLst>
            <a:ext uri="{FF2B5EF4-FFF2-40B4-BE49-F238E27FC236}">
              <a16:creationId xmlns:a16="http://schemas.microsoft.com/office/drawing/2014/main" id="{682F7E14-AE01-4AFD-9143-75718F83613B}"/>
            </a:ext>
          </a:extLst>
        </xdr:cNvPr>
        <xdr:cNvSpPr/>
      </xdr:nvSpPr>
      <xdr:spPr>
        <a:xfrm>
          <a:off x="0" y="15890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956</xdr:row>
      <xdr:rowOff>0</xdr:rowOff>
    </xdr:from>
    <xdr:to>
      <xdr:col>0</xdr:col>
      <xdr:colOff>323850</xdr:colOff>
      <xdr:row>957</xdr:row>
      <xdr:rowOff>120650</xdr:rowOff>
    </xdr:to>
    <xdr:sp macro="" textlink="">
      <xdr:nvSpPr>
        <xdr:cNvPr id="273" name="Frame 272">
          <a:extLst>
            <a:ext uri="{FF2B5EF4-FFF2-40B4-BE49-F238E27FC236}">
              <a16:creationId xmlns:a16="http://schemas.microsoft.com/office/drawing/2014/main" id="{127A9CFB-5DEF-45D9-8953-CCECC62FAA88}"/>
            </a:ext>
          </a:extLst>
        </xdr:cNvPr>
        <xdr:cNvSpPr/>
      </xdr:nvSpPr>
      <xdr:spPr>
        <a:xfrm>
          <a:off x="0" y="15927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958</xdr:row>
      <xdr:rowOff>0</xdr:rowOff>
    </xdr:from>
    <xdr:to>
      <xdr:col>0</xdr:col>
      <xdr:colOff>323850</xdr:colOff>
      <xdr:row>959</xdr:row>
      <xdr:rowOff>120650</xdr:rowOff>
    </xdr:to>
    <xdr:sp macro="" textlink="">
      <xdr:nvSpPr>
        <xdr:cNvPr id="282" name="Frame 281">
          <a:extLst>
            <a:ext uri="{FF2B5EF4-FFF2-40B4-BE49-F238E27FC236}">
              <a16:creationId xmlns:a16="http://schemas.microsoft.com/office/drawing/2014/main" id="{3A339516-EFC0-4EE0-993B-58CBD0B9E969}"/>
            </a:ext>
          </a:extLst>
        </xdr:cNvPr>
        <xdr:cNvSpPr/>
      </xdr:nvSpPr>
      <xdr:spPr>
        <a:xfrm>
          <a:off x="0" y="15964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960</xdr:row>
      <xdr:rowOff>0</xdr:rowOff>
    </xdr:from>
    <xdr:to>
      <xdr:col>0</xdr:col>
      <xdr:colOff>323850</xdr:colOff>
      <xdr:row>961</xdr:row>
      <xdr:rowOff>120650</xdr:rowOff>
    </xdr:to>
    <xdr:sp macro="" textlink="">
      <xdr:nvSpPr>
        <xdr:cNvPr id="283" name="Frame 282">
          <a:extLst>
            <a:ext uri="{FF2B5EF4-FFF2-40B4-BE49-F238E27FC236}">
              <a16:creationId xmlns:a16="http://schemas.microsoft.com/office/drawing/2014/main" id="{F3C98E81-28D8-4766-A2C4-A59F52C44D25}"/>
            </a:ext>
          </a:extLst>
        </xdr:cNvPr>
        <xdr:cNvSpPr/>
      </xdr:nvSpPr>
      <xdr:spPr>
        <a:xfrm>
          <a:off x="0" y="16001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962</xdr:row>
      <xdr:rowOff>0</xdr:rowOff>
    </xdr:from>
    <xdr:to>
      <xdr:col>0</xdr:col>
      <xdr:colOff>323850</xdr:colOff>
      <xdr:row>963</xdr:row>
      <xdr:rowOff>120650</xdr:rowOff>
    </xdr:to>
    <xdr:sp macro="" textlink="">
      <xdr:nvSpPr>
        <xdr:cNvPr id="284" name="Frame 283">
          <a:extLst>
            <a:ext uri="{FF2B5EF4-FFF2-40B4-BE49-F238E27FC236}">
              <a16:creationId xmlns:a16="http://schemas.microsoft.com/office/drawing/2014/main" id="{17901EDB-6BB5-4870-9BE1-CC827150FC3A}"/>
            </a:ext>
          </a:extLst>
        </xdr:cNvPr>
        <xdr:cNvSpPr/>
      </xdr:nvSpPr>
      <xdr:spPr>
        <a:xfrm>
          <a:off x="0" y="16038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286" name="Frame 285">
          <a:extLst>
            <a:ext uri="{FF2B5EF4-FFF2-40B4-BE49-F238E27FC236}">
              <a16:creationId xmlns:a16="http://schemas.microsoft.com/office/drawing/2014/main" id="{9FF652E0-EB33-4A68-A5BE-27ADBB9E24AB}"/>
            </a:ext>
            <a:ext uri="{147F2762-F138-4A5C-976F-8EAC2B608ADB}">
              <a16:predDERef xmlns:a16="http://schemas.microsoft.com/office/drawing/2014/main" pred="{17901EDB-6BB5-4870-9BE1-CC827150FC3A}"/>
            </a:ext>
          </a:extLst>
        </xdr:cNvPr>
        <xdr:cNvSpPr/>
      </xdr:nvSpPr>
      <xdr:spPr>
        <a:xfrm>
          <a:off x="0" y="16111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287" name="Frame 286">
          <a:extLst>
            <a:ext uri="{FF2B5EF4-FFF2-40B4-BE49-F238E27FC236}">
              <a16:creationId xmlns:a16="http://schemas.microsoft.com/office/drawing/2014/main" id="{4561C242-8B9D-4CD1-AF9A-6A98DFC49B53}"/>
            </a:ext>
            <a:ext uri="{147F2762-F138-4A5C-976F-8EAC2B608ADB}">
              <a16:predDERef xmlns:a16="http://schemas.microsoft.com/office/drawing/2014/main" pred="{9FF652E0-EB33-4A68-A5BE-27ADBB9E24AB}"/>
            </a:ext>
          </a:extLst>
        </xdr:cNvPr>
        <xdr:cNvSpPr/>
      </xdr:nvSpPr>
      <xdr:spPr>
        <a:xfrm>
          <a:off x="0" y="164433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293" name="Frame 292">
          <a:extLst>
            <a:ext uri="{FF2B5EF4-FFF2-40B4-BE49-F238E27FC236}">
              <a16:creationId xmlns:a16="http://schemas.microsoft.com/office/drawing/2014/main" id="{7F5E4A39-D241-4ADA-B710-7046597BA846}"/>
            </a:ext>
            <a:ext uri="{147F2762-F138-4A5C-976F-8EAC2B608ADB}">
              <a16:predDERef xmlns:a16="http://schemas.microsoft.com/office/drawing/2014/main" pred="{4561C242-8B9D-4CD1-AF9A-6A98DFC49B53}"/>
            </a:ext>
          </a:extLst>
        </xdr:cNvPr>
        <xdr:cNvSpPr/>
      </xdr:nvSpPr>
      <xdr:spPr>
        <a:xfrm>
          <a:off x="0" y="164801550"/>
          <a:ext cx="323850" cy="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294" name="Frame 293">
          <a:extLst>
            <a:ext uri="{FF2B5EF4-FFF2-40B4-BE49-F238E27FC236}">
              <a16:creationId xmlns:a16="http://schemas.microsoft.com/office/drawing/2014/main" id="{F64727AE-7153-4050-943F-7B09FB563968}"/>
            </a:ext>
            <a:ext uri="{147F2762-F138-4A5C-976F-8EAC2B608ADB}">
              <a16:predDERef xmlns:a16="http://schemas.microsoft.com/office/drawing/2014/main" pred="{7F5E4A39-D241-4ADA-B710-7046597BA846}"/>
            </a:ext>
          </a:extLst>
        </xdr:cNvPr>
        <xdr:cNvSpPr/>
      </xdr:nvSpPr>
      <xdr:spPr>
        <a:xfrm>
          <a:off x="0" y="16480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295" name="Frame 294">
          <a:extLst>
            <a:ext uri="{FF2B5EF4-FFF2-40B4-BE49-F238E27FC236}">
              <a16:creationId xmlns:a16="http://schemas.microsoft.com/office/drawing/2014/main" id="{874D9D3E-C142-4A38-90C0-CF185CFF2102}"/>
            </a:ext>
            <a:ext uri="{147F2762-F138-4A5C-976F-8EAC2B608ADB}">
              <a16:predDERef xmlns:a16="http://schemas.microsoft.com/office/drawing/2014/main" pred="{F64727AE-7153-4050-943F-7B09FB563968}"/>
            </a:ext>
          </a:extLst>
        </xdr:cNvPr>
        <xdr:cNvSpPr/>
      </xdr:nvSpPr>
      <xdr:spPr>
        <a:xfrm>
          <a:off x="0" y="16516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09" name="Frame 308">
          <a:extLst>
            <a:ext uri="{FF2B5EF4-FFF2-40B4-BE49-F238E27FC236}">
              <a16:creationId xmlns:a16="http://schemas.microsoft.com/office/drawing/2014/main" id="{87B8B7EA-23FE-43B0-AF1A-E60C85D089A9}"/>
            </a:ext>
            <a:ext uri="{147F2762-F138-4A5C-976F-8EAC2B608ADB}">
              <a16:predDERef xmlns:a16="http://schemas.microsoft.com/office/drawing/2014/main" pred="{874D9D3E-C142-4A38-90C0-CF185CFF2102}"/>
            </a:ext>
          </a:extLst>
        </xdr:cNvPr>
        <xdr:cNvSpPr/>
      </xdr:nvSpPr>
      <xdr:spPr>
        <a:xfrm>
          <a:off x="0" y="16553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18" name="Frame 317">
          <a:extLst>
            <a:ext uri="{FF2B5EF4-FFF2-40B4-BE49-F238E27FC236}">
              <a16:creationId xmlns:a16="http://schemas.microsoft.com/office/drawing/2014/main" id="{B75C3CE0-8E91-402D-BAC9-15B67432D9D9}"/>
            </a:ext>
            <a:ext uri="{147F2762-F138-4A5C-976F-8EAC2B608ADB}">
              <a16:predDERef xmlns:a16="http://schemas.microsoft.com/office/drawing/2014/main" pred="{87B8B7EA-23FE-43B0-AF1A-E60C85D089A9}"/>
            </a:ext>
          </a:extLst>
        </xdr:cNvPr>
        <xdr:cNvSpPr/>
      </xdr:nvSpPr>
      <xdr:spPr>
        <a:xfrm>
          <a:off x="0" y="16148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19" name="Frame 318">
          <a:extLst>
            <a:ext uri="{FF2B5EF4-FFF2-40B4-BE49-F238E27FC236}">
              <a16:creationId xmlns:a16="http://schemas.microsoft.com/office/drawing/2014/main" id="{D34E6FD7-8DB9-4CDE-B6A9-4C83BFA9E730}"/>
            </a:ext>
            <a:ext uri="{147F2762-F138-4A5C-976F-8EAC2B608ADB}">
              <a16:predDERef xmlns:a16="http://schemas.microsoft.com/office/drawing/2014/main" pred="{B75C3CE0-8E91-402D-BAC9-15B67432D9D9}"/>
            </a:ext>
          </a:extLst>
        </xdr:cNvPr>
        <xdr:cNvSpPr/>
      </xdr:nvSpPr>
      <xdr:spPr>
        <a:xfrm>
          <a:off x="0" y="16185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0" name="Frame 319">
          <a:extLst>
            <a:ext uri="{FF2B5EF4-FFF2-40B4-BE49-F238E27FC236}">
              <a16:creationId xmlns:a16="http://schemas.microsoft.com/office/drawing/2014/main" id="{69A30F9E-1635-4F17-8505-A4880C12D950}"/>
            </a:ext>
            <a:ext uri="{147F2762-F138-4A5C-976F-8EAC2B608ADB}">
              <a16:predDERef xmlns:a16="http://schemas.microsoft.com/office/drawing/2014/main" pred="{D34E6FD7-8DB9-4CDE-B6A9-4C83BFA9E730}"/>
            </a:ext>
          </a:extLst>
        </xdr:cNvPr>
        <xdr:cNvSpPr/>
      </xdr:nvSpPr>
      <xdr:spPr>
        <a:xfrm>
          <a:off x="0" y="162223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1" name="Frame 320">
          <a:extLst>
            <a:ext uri="{FF2B5EF4-FFF2-40B4-BE49-F238E27FC236}">
              <a16:creationId xmlns:a16="http://schemas.microsoft.com/office/drawing/2014/main" id="{CAA60917-C19E-4E8A-8E22-5EDBA5BB6767}"/>
            </a:ext>
            <a:ext uri="{147F2762-F138-4A5C-976F-8EAC2B608ADB}">
              <a16:predDERef xmlns:a16="http://schemas.microsoft.com/office/drawing/2014/main" pred="{69A30F9E-1635-4F17-8505-A4880C12D950}"/>
            </a:ext>
          </a:extLst>
        </xdr:cNvPr>
        <xdr:cNvSpPr/>
      </xdr:nvSpPr>
      <xdr:spPr>
        <a:xfrm>
          <a:off x="0" y="162591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2" name="Frame 321">
          <a:extLst>
            <a:ext uri="{FF2B5EF4-FFF2-40B4-BE49-F238E27FC236}">
              <a16:creationId xmlns:a16="http://schemas.microsoft.com/office/drawing/2014/main" id="{C18053FD-BE63-4B36-AFF6-A06C08D460CE}"/>
            </a:ext>
            <a:ext uri="{147F2762-F138-4A5C-976F-8EAC2B608ADB}">
              <a16:predDERef xmlns:a16="http://schemas.microsoft.com/office/drawing/2014/main" pred="{CAA60917-C19E-4E8A-8E22-5EDBA5BB6767}"/>
            </a:ext>
          </a:extLst>
        </xdr:cNvPr>
        <xdr:cNvSpPr/>
      </xdr:nvSpPr>
      <xdr:spPr>
        <a:xfrm>
          <a:off x="0" y="162960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3" name="Frame 322">
          <a:extLst>
            <a:ext uri="{FF2B5EF4-FFF2-40B4-BE49-F238E27FC236}">
              <a16:creationId xmlns:a16="http://schemas.microsoft.com/office/drawing/2014/main" id="{1C6D41E9-1794-4E26-8F86-F34FCF7CB0EE}"/>
            </a:ext>
            <a:ext uri="{147F2762-F138-4A5C-976F-8EAC2B608ADB}">
              <a16:predDERef xmlns:a16="http://schemas.microsoft.com/office/drawing/2014/main" pred="{C18053FD-BE63-4B36-AFF6-A06C08D460CE}"/>
            </a:ext>
          </a:extLst>
        </xdr:cNvPr>
        <xdr:cNvSpPr/>
      </xdr:nvSpPr>
      <xdr:spPr>
        <a:xfrm>
          <a:off x="0" y="163328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4" name="Frame 323">
          <a:extLst>
            <a:ext uri="{FF2B5EF4-FFF2-40B4-BE49-F238E27FC236}">
              <a16:creationId xmlns:a16="http://schemas.microsoft.com/office/drawing/2014/main" id="{4370C625-7145-424C-A71C-A738963EA82A}"/>
            </a:ext>
            <a:ext uri="{147F2762-F138-4A5C-976F-8EAC2B608ADB}">
              <a16:predDERef xmlns:a16="http://schemas.microsoft.com/office/drawing/2014/main" pred="{1C6D41E9-1794-4E26-8F86-F34FCF7CB0EE}"/>
            </a:ext>
          </a:extLst>
        </xdr:cNvPr>
        <xdr:cNvSpPr/>
      </xdr:nvSpPr>
      <xdr:spPr>
        <a:xfrm>
          <a:off x="0" y="163696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968</xdr:row>
      <xdr:rowOff>0</xdr:rowOff>
    </xdr:to>
    <xdr:sp macro="" textlink="">
      <xdr:nvSpPr>
        <xdr:cNvPr id="325" name="Frame 324">
          <a:extLst>
            <a:ext uri="{FF2B5EF4-FFF2-40B4-BE49-F238E27FC236}">
              <a16:creationId xmlns:a16="http://schemas.microsoft.com/office/drawing/2014/main" id="{B1AD0806-9912-4DE2-A9F2-F3618FED0A0B}"/>
            </a:ext>
            <a:ext uri="{147F2762-F138-4A5C-976F-8EAC2B608ADB}">
              <a16:predDERef xmlns:a16="http://schemas.microsoft.com/office/drawing/2014/main" pred="{4370C625-7145-424C-A71C-A738963EA82A}"/>
            </a:ext>
          </a:extLst>
        </xdr:cNvPr>
        <xdr:cNvSpPr/>
      </xdr:nvSpPr>
      <xdr:spPr>
        <a:xfrm>
          <a:off x="0" y="164064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981</xdr:row>
      <xdr:rowOff>177800</xdr:rowOff>
    </xdr:from>
    <xdr:to>
      <xdr:col>0</xdr:col>
      <xdr:colOff>330200</xdr:colOff>
      <xdr:row>983</xdr:row>
      <xdr:rowOff>114300</xdr:rowOff>
    </xdr:to>
    <xdr:sp macro="" textlink="">
      <xdr:nvSpPr>
        <xdr:cNvPr id="326" name="Frame 325">
          <a:extLst>
            <a:ext uri="{FF2B5EF4-FFF2-40B4-BE49-F238E27FC236}">
              <a16:creationId xmlns:a16="http://schemas.microsoft.com/office/drawing/2014/main" id="{BBFB24A4-D222-4236-A15D-7B0BBDB3D714}"/>
            </a:ext>
          </a:extLst>
        </xdr:cNvPr>
        <xdr:cNvSpPr/>
      </xdr:nvSpPr>
      <xdr:spPr>
        <a:xfrm>
          <a:off x="6350" y="10480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984</xdr:row>
      <xdr:rowOff>0</xdr:rowOff>
    </xdr:from>
    <xdr:to>
      <xdr:col>0</xdr:col>
      <xdr:colOff>323850</xdr:colOff>
      <xdr:row>985</xdr:row>
      <xdr:rowOff>120650</xdr:rowOff>
    </xdr:to>
    <xdr:sp macro="" textlink="">
      <xdr:nvSpPr>
        <xdr:cNvPr id="327" name="Frame 326">
          <a:extLst>
            <a:ext uri="{FF2B5EF4-FFF2-40B4-BE49-F238E27FC236}">
              <a16:creationId xmlns:a16="http://schemas.microsoft.com/office/drawing/2014/main" id="{AA0AADB2-23ED-460D-9E68-40C74480581E}"/>
            </a:ext>
          </a:extLst>
        </xdr:cNvPr>
        <xdr:cNvSpPr/>
      </xdr:nvSpPr>
      <xdr:spPr>
        <a:xfrm>
          <a:off x="0" y="10518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986</xdr:row>
      <xdr:rowOff>0</xdr:rowOff>
    </xdr:from>
    <xdr:to>
      <xdr:col>0</xdr:col>
      <xdr:colOff>323850</xdr:colOff>
      <xdr:row>987</xdr:row>
      <xdr:rowOff>120650</xdr:rowOff>
    </xdr:to>
    <xdr:sp macro="" textlink="">
      <xdr:nvSpPr>
        <xdr:cNvPr id="328" name="Frame 327">
          <a:extLst>
            <a:ext uri="{FF2B5EF4-FFF2-40B4-BE49-F238E27FC236}">
              <a16:creationId xmlns:a16="http://schemas.microsoft.com/office/drawing/2014/main" id="{2219E080-0F0E-4274-BDCF-BD1A4840DDEC}"/>
            </a:ext>
          </a:extLst>
        </xdr:cNvPr>
        <xdr:cNvSpPr/>
      </xdr:nvSpPr>
      <xdr:spPr>
        <a:xfrm>
          <a:off x="0" y="10554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988</xdr:row>
      <xdr:rowOff>0</xdr:rowOff>
    </xdr:from>
    <xdr:to>
      <xdr:col>0</xdr:col>
      <xdr:colOff>323850</xdr:colOff>
      <xdr:row>989</xdr:row>
      <xdr:rowOff>120650</xdr:rowOff>
    </xdr:to>
    <xdr:sp macro="" textlink="">
      <xdr:nvSpPr>
        <xdr:cNvPr id="329" name="Frame 328">
          <a:extLst>
            <a:ext uri="{FF2B5EF4-FFF2-40B4-BE49-F238E27FC236}">
              <a16:creationId xmlns:a16="http://schemas.microsoft.com/office/drawing/2014/main" id="{5EC9FA2B-B253-4E7B-B421-4EA88B33E905}"/>
            </a:ext>
          </a:extLst>
        </xdr:cNvPr>
        <xdr:cNvSpPr/>
      </xdr:nvSpPr>
      <xdr:spPr>
        <a:xfrm>
          <a:off x="0" y="10591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990</xdr:row>
      <xdr:rowOff>0</xdr:rowOff>
    </xdr:from>
    <xdr:to>
      <xdr:col>0</xdr:col>
      <xdr:colOff>323850</xdr:colOff>
      <xdr:row>991</xdr:row>
      <xdr:rowOff>120650</xdr:rowOff>
    </xdr:to>
    <xdr:sp macro="" textlink="">
      <xdr:nvSpPr>
        <xdr:cNvPr id="330" name="Frame 329">
          <a:extLst>
            <a:ext uri="{FF2B5EF4-FFF2-40B4-BE49-F238E27FC236}">
              <a16:creationId xmlns:a16="http://schemas.microsoft.com/office/drawing/2014/main" id="{5D1D74A8-E88A-4089-8CD3-1FE3278E842C}"/>
            </a:ext>
          </a:extLst>
        </xdr:cNvPr>
        <xdr:cNvSpPr/>
      </xdr:nvSpPr>
      <xdr:spPr>
        <a:xfrm>
          <a:off x="0" y="10628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992</xdr:row>
      <xdr:rowOff>0</xdr:rowOff>
    </xdr:from>
    <xdr:to>
      <xdr:col>0</xdr:col>
      <xdr:colOff>323850</xdr:colOff>
      <xdr:row>993</xdr:row>
      <xdr:rowOff>120650</xdr:rowOff>
    </xdr:to>
    <xdr:sp macro="" textlink="">
      <xdr:nvSpPr>
        <xdr:cNvPr id="331" name="Frame 330">
          <a:extLst>
            <a:ext uri="{FF2B5EF4-FFF2-40B4-BE49-F238E27FC236}">
              <a16:creationId xmlns:a16="http://schemas.microsoft.com/office/drawing/2014/main" id="{D0AF6BA4-C5AC-450F-A79B-82139D18519D}"/>
            </a:ext>
          </a:extLst>
        </xdr:cNvPr>
        <xdr:cNvSpPr/>
      </xdr:nvSpPr>
      <xdr:spPr>
        <a:xfrm>
          <a:off x="0" y="10665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994</xdr:row>
      <xdr:rowOff>0</xdr:rowOff>
    </xdr:from>
    <xdr:to>
      <xdr:col>0</xdr:col>
      <xdr:colOff>323850</xdr:colOff>
      <xdr:row>995</xdr:row>
      <xdr:rowOff>120650</xdr:rowOff>
    </xdr:to>
    <xdr:sp macro="" textlink="">
      <xdr:nvSpPr>
        <xdr:cNvPr id="332" name="Frame 331">
          <a:extLst>
            <a:ext uri="{FF2B5EF4-FFF2-40B4-BE49-F238E27FC236}">
              <a16:creationId xmlns:a16="http://schemas.microsoft.com/office/drawing/2014/main" id="{D902F01A-008E-4A3F-B101-A222DF0F7713}"/>
            </a:ext>
          </a:extLst>
        </xdr:cNvPr>
        <xdr:cNvSpPr/>
      </xdr:nvSpPr>
      <xdr:spPr>
        <a:xfrm>
          <a:off x="0" y="10702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996</xdr:row>
      <xdr:rowOff>0</xdr:rowOff>
    </xdr:from>
    <xdr:to>
      <xdr:col>0</xdr:col>
      <xdr:colOff>323850</xdr:colOff>
      <xdr:row>997</xdr:row>
      <xdr:rowOff>120650</xdr:rowOff>
    </xdr:to>
    <xdr:sp macro="" textlink="">
      <xdr:nvSpPr>
        <xdr:cNvPr id="333" name="Frame 332">
          <a:extLst>
            <a:ext uri="{FF2B5EF4-FFF2-40B4-BE49-F238E27FC236}">
              <a16:creationId xmlns:a16="http://schemas.microsoft.com/office/drawing/2014/main" id="{FE97F3E7-6909-41A7-A485-F525E11CCD71}"/>
            </a:ext>
          </a:extLst>
        </xdr:cNvPr>
        <xdr:cNvSpPr/>
      </xdr:nvSpPr>
      <xdr:spPr>
        <a:xfrm>
          <a:off x="0" y="107391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323850</xdr:colOff>
      <xdr:row>1015</xdr:row>
      <xdr:rowOff>120650</xdr:rowOff>
    </xdr:to>
    <xdr:sp macro="" textlink="">
      <xdr:nvSpPr>
        <xdr:cNvPr id="334" name="Frame 333">
          <a:extLst>
            <a:ext uri="{FF2B5EF4-FFF2-40B4-BE49-F238E27FC236}">
              <a16:creationId xmlns:a16="http://schemas.microsoft.com/office/drawing/2014/main" id="{174866DB-1570-46AE-92D6-A0775D2269B4}"/>
            </a:ext>
          </a:extLst>
        </xdr:cNvPr>
        <xdr:cNvSpPr/>
      </xdr:nvSpPr>
      <xdr:spPr>
        <a:xfrm>
          <a:off x="0" y="11070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1016</xdr:row>
      <xdr:rowOff>0</xdr:rowOff>
    </xdr:from>
    <xdr:to>
      <xdr:col>0</xdr:col>
      <xdr:colOff>323850</xdr:colOff>
      <xdr:row>1016</xdr:row>
      <xdr:rowOff>0</xdr:rowOff>
    </xdr:to>
    <xdr:sp macro="" textlink="">
      <xdr:nvSpPr>
        <xdr:cNvPr id="335" name="Frame 334">
          <a:extLst>
            <a:ext uri="{FF2B5EF4-FFF2-40B4-BE49-F238E27FC236}">
              <a16:creationId xmlns:a16="http://schemas.microsoft.com/office/drawing/2014/main" id="{6C11C23D-A5ED-4C5E-B669-ED73ACC2BA46}"/>
            </a:ext>
          </a:extLst>
        </xdr:cNvPr>
        <xdr:cNvSpPr/>
      </xdr:nvSpPr>
      <xdr:spPr>
        <a:xfrm>
          <a:off x="0" y="111074200"/>
          <a:ext cx="323850" cy="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1016</xdr:row>
      <xdr:rowOff>0</xdr:rowOff>
    </xdr:from>
    <xdr:to>
      <xdr:col>0</xdr:col>
      <xdr:colOff>323850</xdr:colOff>
      <xdr:row>1017</xdr:row>
      <xdr:rowOff>120650</xdr:rowOff>
    </xdr:to>
    <xdr:sp macro="" textlink="">
      <xdr:nvSpPr>
        <xdr:cNvPr id="336" name="Frame 335">
          <a:extLst>
            <a:ext uri="{FF2B5EF4-FFF2-40B4-BE49-F238E27FC236}">
              <a16:creationId xmlns:a16="http://schemas.microsoft.com/office/drawing/2014/main" id="{018D298B-1748-47B7-BB91-7A899BDD0B1D}"/>
            </a:ext>
          </a:extLst>
        </xdr:cNvPr>
        <xdr:cNvSpPr/>
      </xdr:nvSpPr>
      <xdr:spPr>
        <a:xfrm>
          <a:off x="0" y="11107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1018</xdr:row>
      <xdr:rowOff>0</xdr:rowOff>
    </xdr:from>
    <xdr:to>
      <xdr:col>0</xdr:col>
      <xdr:colOff>323850</xdr:colOff>
      <xdr:row>1019</xdr:row>
      <xdr:rowOff>120650</xdr:rowOff>
    </xdr:to>
    <xdr:sp macro="" textlink="">
      <xdr:nvSpPr>
        <xdr:cNvPr id="337" name="Frame 336">
          <a:extLst>
            <a:ext uri="{FF2B5EF4-FFF2-40B4-BE49-F238E27FC236}">
              <a16:creationId xmlns:a16="http://schemas.microsoft.com/office/drawing/2014/main" id="{1AFF83F8-0F40-411F-8835-3F2EC517928E}"/>
            </a:ext>
          </a:extLst>
        </xdr:cNvPr>
        <xdr:cNvSpPr/>
      </xdr:nvSpPr>
      <xdr:spPr>
        <a:xfrm>
          <a:off x="0" y="11144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1020</xdr:row>
      <xdr:rowOff>0</xdr:rowOff>
    </xdr:from>
    <xdr:to>
      <xdr:col>0</xdr:col>
      <xdr:colOff>323850</xdr:colOff>
      <xdr:row>1021</xdr:row>
      <xdr:rowOff>120650</xdr:rowOff>
    </xdr:to>
    <xdr:sp macro="" textlink="">
      <xdr:nvSpPr>
        <xdr:cNvPr id="338" name="Frame 337">
          <a:extLst>
            <a:ext uri="{FF2B5EF4-FFF2-40B4-BE49-F238E27FC236}">
              <a16:creationId xmlns:a16="http://schemas.microsoft.com/office/drawing/2014/main" id="{033C9F55-C38C-449B-BF07-FC217AB6DACE}"/>
            </a:ext>
          </a:extLst>
        </xdr:cNvPr>
        <xdr:cNvSpPr/>
      </xdr:nvSpPr>
      <xdr:spPr>
        <a:xfrm>
          <a:off x="0" y="11181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1022</xdr:row>
      <xdr:rowOff>0</xdr:rowOff>
    </xdr:from>
    <xdr:to>
      <xdr:col>0</xdr:col>
      <xdr:colOff>323850</xdr:colOff>
      <xdr:row>1023</xdr:row>
      <xdr:rowOff>120650</xdr:rowOff>
    </xdr:to>
    <xdr:sp macro="" textlink="">
      <xdr:nvSpPr>
        <xdr:cNvPr id="339" name="Frame 338">
          <a:extLst>
            <a:ext uri="{FF2B5EF4-FFF2-40B4-BE49-F238E27FC236}">
              <a16:creationId xmlns:a16="http://schemas.microsoft.com/office/drawing/2014/main" id="{D863773B-B774-4CA1-A9A0-F5967627B39A}"/>
            </a:ext>
          </a:extLst>
        </xdr:cNvPr>
        <xdr:cNvSpPr/>
      </xdr:nvSpPr>
      <xdr:spPr>
        <a:xfrm>
          <a:off x="0" y="11217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0</xdr:col>
      <xdr:colOff>323850</xdr:colOff>
      <xdr:row>999</xdr:row>
      <xdr:rowOff>120650</xdr:rowOff>
    </xdr:to>
    <xdr:sp macro="" textlink="">
      <xdr:nvSpPr>
        <xdr:cNvPr id="342" name="Frame 341">
          <a:extLst>
            <a:ext uri="{FF2B5EF4-FFF2-40B4-BE49-F238E27FC236}">
              <a16:creationId xmlns:a16="http://schemas.microsoft.com/office/drawing/2014/main" id="{9341904F-DAEA-4F62-A255-5AFAF0D48CF5}"/>
            </a:ext>
          </a:extLst>
        </xdr:cNvPr>
        <xdr:cNvSpPr/>
      </xdr:nvSpPr>
      <xdr:spPr>
        <a:xfrm>
          <a:off x="0" y="10775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1000</xdr:row>
      <xdr:rowOff>0</xdr:rowOff>
    </xdr:from>
    <xdr:to>
      <xdr:col>0</xdr:col>
      <xdr:colOff>323850</xdr:colOff>
      <xdr:row>1001</xdr:row>
      <xdr:rowOff>120650</xdr:rowOff>
    </xdr:to>
    <xdr:sp macro="" textlink="">
      <xdr:nvSpPr>
        <xdr:cNvPr id="343" name="Frame 342">
          <a:extLst>
            <a:ext uri="{FF2B5EF4-FFF2-40B4-BE49-F238E27FC236}">
              <a16:creationId xmlns:a16="http://schemas.microsoft.com/office/drawing/2014/main" id="{A31CFA83-D226-4C8E-A3AD-5E573893A37E}"/>
            </a:ext>
          </a:extLst>
        </xdr:cNvPr>
        <xdr:cNvSpPr/>
      </xdr:nvSpPr>
      <xdr:spPr>
        <a:xfrm>
          <a:off x="0" y="10812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1002</xdr:row>
      <xdr:rowOff>0</xdr:rowOff>
    </xdr:from>
    <xdr:to>
      <xdr:col>0</xdr:col>
      <xdr:colOff>323850</xdr:colOff>
      <xdr:row>1003</xdr:row>
      <xdr:rowOff>120650</xdr:rowOff>
    </xdr:to>
    <xdr:sp macro="" textlink="">
      <xdr:nvSpPr>
        <xdr:cNvPr id="344" name="Frame 343">
          <a:extLst>
            <a:ext uri="{FF2B5EF4-FFF2-40B4-BE49-F238E27FC236}">
              <a16:creationId xmlns:a16="http://schemas.microsoft.com/office/drawing/2014/main" id="{271B8077-8528-49BD-BC1C-529C06D90870}"/>
            </a:ext>
          </a:extLst>
        </xdr:cNvPr>
        <xdr:cNvSpPr/>
      </xdr:nvSpPr>
      <xdr:spPr>
        <a:xfrm>
          <a:off x="0" y="10849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1004</xdr:row>
      <xdr:rowOff>0</xdr:rowOff>
    </xdr:from>
    <xdr:to>
      <xdr:col>0</xdr:col>
      <xdr:colOff>323850</xdr:colOff>
      <xdr:row>1005</xdr:row>
      <xdr:rowOff>120650</xdr:rowOff>
    </xdr:to>
    <xdr:sp macro="" textlink="">
      <xdr:nvSpPr>
        <xdr:cNvPr id="345" name="Frame 344">
          <a:extLst>
            <a:ext uri="{FF2B5EF4-FFF2-40B4-BE49-F238E27FC236}">
              <a16:creationId xmlns:a16="http://schemas.microsoft.com/office/drawing/2014/main" id="{29F826FE-00E2-4C10-8247-FB5BE4E27011}"/>
            </a:ext>
          </a:extLst>
        </xdr:cNvPr>
        <xdr:cNvSpPr/>
      </xdr:nvSpPr>
      <xdr:spPr>
        <a:xfrm>
          <a:off x="0" y="10886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1006</xdr:row>
      <xdr:rowOff>0</xdr:rowOff>
    </xdr:from>
    <xdr:to>
      <xdr:col>0</xdr:col>
      <xdr:colOff>323850</xdr:colOff>
      <xdr:row>1007</xdr:row>
      <xdr:rowOff>120650</xdr:rowOff>
    </xdr:to>
    <xdr:sp macro="" textlink="">
      <xdr:nvSpPr>
        <xdr:cNvPr id="346" name="Frame 345">
          <a:extLst>
            <a:ext uri="{FF2B5EF4-FFF2-40B4-BE49-F238E27FC236}">
              <a16:creationId xmlns:a16="http://schemas.microsoft.com/office/drawing/2014/main" id="{7658B97E-602B-4C4C-916A-899E6AD37B4A}"/>
            </a:ext>
          </a:extLst>
        </xdr:cNvPr>
        <xdr:cNvSpPr/>
      </xdr:nvSpPr>
      <xdr:spPr>
        <a:xfrm>
          <a:off x="0" y="10923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1008</xdr:row>
      <xdr:rowOff>0</xdr:rowOff>
    </xdr:from>
    <xdr:to>
      <xdr:col>0</xdr:col>
      <xdr:colOff>323850</xdr:colOff>
      <xdr:row>1009</xdr:row>
      <xdr:rowOff>120650</xdr:rowOff>
    </xdr:to>
    <xdr:sp macro="" textlink="">
      <xdr:nvSpPr>
        <xdr:cNvPr id="347" name="Frame 346">
          <a:extLst>
            <a:ext uri="{FF2B5EF4-FFF2-40B4-BE49-F238E27FC236}">
              <a16:creationId xmlns:a16="http://schemas.microsoft.com/office/drawing/2014/main" id="{2C95F809-38DB-4455-87FC-48605AD79664}"/>
            </a:ext>
          </a:extLst>
        </xdr:cNvPr>
        <xdr:cNvSpPr/>
      </xdr:nvSpPr>
      <xdr:spPr>
        <a:xfrm>
          <a:off x="0" y="10960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1010</xdr:row>
      <xdr:rowOff>0</xdr:rowOff>
    </xdr:from>
    <xdr:to>
      <xdr:col>0</xdr:col>
      <xdr:colOff>323850</xdr:colOff>
      <xdr:row>1011</xdr:row>
      <xdr:rowOff>120650</xdr:rowOff>
    </xdr:to>
    <xdr:sp macro="" textlink="">
      <xdr:nvSpPr>
        <xdr:cNvPr id="348" name="Frame 347">
          <a:extLst>
            <a:ext uri="{FF2B5EF4-FFF2-40B4-BE49-F238E27FC236}">
              <a16:creationId xmlns:a16="http://schemas.microsoft.com/office/drawing/2014/main" id="{E65B9E65-5F27-4681-B02E-CAEAA337DCED}"/>
            </a:ext>
          </a:extLst>
        </xdr:cNvPr>
        <xdr:cNvSpPr/>
      </xdr:nvSpPr>
      <xdr:spPr>
        <a:xfrm>
          <a:off x="0" y="10996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1012</xdr:row>
      <xdr:rowOff>0</xdr:rowOff>
    </xdr:from>
    <xdr:to>
      <xdr:col>0</xdr:col>
      <xdr:colOff>323850</xdr:colOff>
      <xdr:row>1013</xdr:row>
      <xdr:rowOff>120650</xdr:rowOff>
    </xdr:to>
    <xdr:sp macro="" textlink="">
      <xdr:nvSpPr>
        <xdr:cNvPr id="349" name="Frame 348">
          <a:extLst>
            <a:ext uri="{FF2B5EF4-FFF2-40B4-BE49-F238E27FC236}">
              <a16:creationId xmlns:a16="http://schemas.microsoft.com/office/drawing/2014/main" id="{2D7F3F42-616F-457A-9F41-1E68807F9207}"/>
            </a:ext>
          </a:extLst>
        </xdr:cNvPr>
        <xdr:cNvSpPr/>
      </xdr:nvSpPr>
      <xdr:spPr>
        <a:xfrm>
          <a:off x="0" y="11033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1036</xdr:row>
      <xdr:rowOff>177800</xdr:rowOff>
    </xdr:from>
    <xdr:to>
      <xdr:col>0</xdr:col>
      <xdr:colOff>330200</xdr:colOff>
      <xdr:row>1038</xdr:row>
      <xdr:rowOff>114300</xdr:rowOff>
    </xdr:to>
    <xdr:sp macro="" textlink="">
      <xdr:nvSpPr>
        <xdr:cNvPr id="350" name="Frame 349">
          <a:extLst>
            <a:ext uri="{FF2B5EF4-FFF2-40B4-BE49-F238E27FC236}">
              <a16:creationId xmlns:a16="http://schemas.microsoft.com/office/drawing/2014/main" id="{784498E9-532A-4D84-88F0-790F4ADB2B22}"/>
            </a:ext>
          </a:extLst>
        </xdr:cNvPr>
        <xdr:cNvSpPr/>
      </xdr:nvSpPr>
      <xdr:spPr>
        <a:xfrm>
          <a:off x="6350" y="173621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1039</xdr:row>
      <xdr:rowOff>0</xdr:rowOff>
    </xdr:from>
    <xdr:to>
      <xdr:col>0</xdr:col>
      <xdr:colOff>323850</xdr:colOff>
      <xdr:row>1040</xdr:row>
      <xdr:rowOff>120650</xdr:rowOff>
    </xdr:to>
    <xdr:sp macro="" textlink="">
      <xdr:nvSpPr>
        <xdr:cNvPr id="351" name="Frame 350">
          <a:extLst>
            <a:ext uri="{FF2B5EF4-FFF2-40B4-BE49-F238E27FC236}">
              <a16:creationId xmlns:a16="http://schemas.microsoft.com/office/drawing/2014/main" id="{B1911598-FD51-47BF-A7DE-759C797A116B}"/>
            </a:ext>
          </a:extLst>
        </xdr:cNvPr>
        <xdr:cNvSpPr/>
      </xdr:nvSpPr>
      <xdr:spPr>
        <a:xfrm>
          <a:off x="0" y="17399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1041</xdr:row>
      <xdr:rowOff>0</xdr:rowOff>
    </xdr:from>
    <xdr:to>
      <xdr:col>0</xdr:col>
      <xdr:colOff>323850</xdr:colOff>
      <xdr:row>1042</xdr:row>
      <xdr:rowOff>120650</xdr:rowOff>
    </xdr:to>
    <xdr:sp macro="" textlink="">
      <xdr:nvSpPr>
        <xdr:cNvPr id="352" name="Frame 351">
          <a:extLst>
            <a:ext uri="{FF2B5EF4-FFF2-40B4-BE49-F238E27FC236}">
              <a16:creationId xmlns:a16="http://schemas.microsoft.com/office/drawing/2014/main" id="{DEDF64B5-3662-43BE-8DC5-A3E1FB1111BA}"/>
            </a:ext>
          </a:extLst>
        </xdr:cNvPr>
        <xdr:cNvSpPr/>
      </xdr:nvSpPr>
      <xdr:spPr>
        <a:xfrm>
          <a:off x="0" y="17436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1043</xdr:row>
      <xdr:rowOff>0</xdr:rowOff>
    </xdr:from>
    <xdr:to>
      <xdr:col>0</xdr:col>
      <xdr:colOff>323850</xdr:colOff>
      <xdr:row>1044</xdr:row>
      <xdr:rowOff>120650</xdr:rowOff>
    </xdr:to>
    <xdr:sp macro="" textlink="">
      <xdr:nvSpPr>
        <xdr:cNvPr id="353" name="Frame 352">
          <a:extLst>
            <a:ext uri="{FF2B5EF4-FFF2-40B4-BE49-F238E27FC236}">
              <a16:creationId xmlns:a16="http://schemas.microsoft.com/office/drawing/2014/main" id="{E958AD08-73F7-4A3F-B387-F88279A7EB18}"/>
            </a:ext>
          </a:extLst>
        </xdr:cNvPr>
        <xdr:cNvSpPr/>
      </xdr:nvSpPr>
      <xdr:spPr>
        <a:xfrm>
          <a:off x="0" y="17473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1045</xdr:row>
      <xdr:rowOff>0</xdr:rowOff>
    </xdr:from>
    <xdr:to>
      <xdr:col>0</xdr:col>
      <xdr:colOff>323850</xdr:colOff>
      <xdr:row>1046</xdr:row>
      <xdr:rowOff>120650</xdr:rowOff>
    </xdr:to>
    <xdr:sp macro="" textlink="">
      <xdr:nvSpPr>
        <xdr:cNvPr id="354" name="Frame 353">
          <a:extLst>
            <a:ext uri="{FF2B5EF4-FFF2-40B4-BE49-F238E27FC236}">
              <a16:creationId xmlns:a16="http://schemas.microsoft.com/office/drawing/2014/main" id="{AF80A0FD-B204-4444-8F3B-49927A650280}"/>
            </a:ext>
          </a:extLst>
        </xdr:cNvPr>
        <xdr:cNvSpPr/>
      </xdr:nvSpPr>
      <xdr:spPr>
        <a:xfrm>
          <a:off x="0" y="17510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1047</xdr:row>
      <xdr:rowOff>0</xdr:rowOff>
    </xdr:from>
    <xdr:to>
      <xdr:col>0</xdr:col>
      <xdr:colOff>323850</xdr:colOff>
      <xdr:row>1048</xdr:row>
      <xdr:rowOff>120650</xdr:rowOff>
    </xdr:to>
    <xdr:sp macro="" textlink="">
      <xdr:nvSpPr>
        <xdr:cNvPr id="355" name="Frame 354">
          <a:extLst>
            <a:ext uri="{FF2B5EF4-FFF2-40B4-BE49-F238E27FC236}">
              <a16:creationId xmlns:a16="http://schemas.microsoft.com/office/drawing/2014/main" id="{ADAD94C5-9703-4944-BB5C-2BEF1A604AE9}"/>
            </a:ext>
          </a:extLst>
        </xdr:cNvPr>
        <xdr:cNvSpPr/>
      </xdr:nvSpPr>
      <xdr:spPr>
        <a:xfrm>
          <a:off x="0" y="17546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1049</xdr:row>
      <xdr:rowOff>0</xdr:rowOff>
    </xdr:from>
    <xdr:to>
      <xdr:col>0</xdr:col>
      <xdr:colOff>323850</xdr:colOff>
      <xdr:row>1050</xdr:row>
      <xdr:rowOff>120650</xdr:rowOff>
    </xdr:to>
    <xdr:sp macro="" textlink="">
      <xdr:nvSpPr>
        <xdr:cNvPr id="356" name="Frame 355">
          <a:extLst>
            <a:ext uri="{FF2B5EF4-FFF2-40B4-BE49-F238E27FC236}">
              <a16:creationId xmlns:a16="http://schemas.microsoft.com/office/drawing/2014/main" id="{311BCA37-E0E0-4E06-9092-A18E8BAE100C}"/>
            </a:ext>
          </a:extLst>
        </xdr:cNvPr>
        <xdr:cNvSpPr/>
      </xdr:nvSpPr>
      <xdr:spPr>
        <a:xfrm>
          <a:off x="0" y="17583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1051</xdr:row>
      <xdr:rowOff>0</xdr:rowOff>
    </xdr:from>
    <xdr:to>
      <xdr:col>0</xdr:col>
      <xdr:colOff>323850</xdr:colOff>
      <xdr:row>1052</xdr:row>
      <xdr:rowOff>120650</xdr:rowOff>
    </xdr:to>
    <xdr:sp macro="" textlink="">
      <xdr:nvSpPr>
        <xdr:cNvPr id="357" name="Frame 356">
          <a:extLst>
            <a:ext uri="{FF2B5EF4-FFF2-40B4-BE49-F238E27FC236}">
              <a16:creationId xmlns:a16="http://schemas.microsoft.com/office/drawing/2014/main" id="{FB545A0C-0BB8-4B75-849D-127FACC4B4D0}"/>
            </a:ext>
          </a:extLst>
        </xdr:cNvPr>
        <xdr:cNvSpPr/>
      </xdr:nvSpPr>
      <xdr:spPr>
        <a:xfrm>
          <a:off x="0" y="17620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1069</xdr:row>
      <xdr:rowOff>0</xdr:rowOff>
    </xdr:from>
    <xdr:to>
      <xdr:col>0</xdr:col>
      <xdr:colOff>323850</xdr:colOff>
      <xdr:row>1070</xdr:row>
      <xdr:rowOff>120650</xdr:rowOff>
    </xdr:to>
    <xdr:sp macro="" textlink="">
      <xdr:nvSpPr>
        <xdr:cNvPr id="358" name="Frame 357">
          <a:extLst>
            <a:ext uri="{FF2B5EF4-FFF2-40B4-BE49-F238E27FC236}">
              <a16:creationId xmlns:a16="http://schemas.microsoft.com/office/drawing/2014/main" id="{7D1A15BA-3462-4DA3-A838-4574D1BF4E01}"/>
            </a:ext>
          </a:extLst>
        </xdr:cNvPr>
        <xdr:cNvSpPr/>
      </xdr:nvSpPr>
      <xdr:spPr>
        <a:xfrm>
          <a:off x="0" y="179520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1053</xdr:row>
      <xdr:rowOff>0</xdr:rowOff>
    </xdr:from>
    <xdr:to>
      <xdr:col>0</xdr:col>
      <xdr:colOff>323850</xdr:colOff>
      <xdr:row>1054</xdr:row>
      <xdr:rowOff>120650</xdr:rowOff>
    </xdr:to>
    <xdr:sp macro="" textlink="">
      <xdr:nvSpPr>
        <xdr:cNvPr id="364" name="Frame 363">
          <a:extLst>
            <a:ext uri="{FF2B5EF4-FFF2-40B4-BE49-F238E27FC236}">
              <a16:creationId xmlns:a16="http://schemas.microsoft.com/office/drawing/2014/main" id="{CB73B394-CA2A-42A2-AF64-95F3735EB848}"/>
            </a:ext>
          </a:extLst>
        </xdr:cNvPr>
        <xdr:cNvSpPr/>
      </xdr:nvSpPr>
      <xdr:spPr>
        <a:xfrm>
          <a:off x="0" y="176574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1055</xdr:row>
      <xdr:rowOff>0</xdr:rowOff>
    </xdr:from>
    <xdr:to>
      <xdr:col>0</xdr:col>
      <xdr:colOff>323850</xdr:colOff>
      <xdr:row>1056</xdr:row>
      <xdr:rowOff>120650</xdr:rowOff>
    </xdr:to>
    <xdr:sp macro="" textlink="">
      <xdr:nvSpPr>
        <xdr:cNvPr id="365" name="Frame 364">
          <a:extLst>
            <a:ext uri="{FF2B5EF4-FFF2-40B4-BE49-F238E27FC236}">
              <a16:creationId xmlns:a16="http://schemas.microsoft.com/office/drawing/2014/main" id="{64E28C61-2136-4F8F-B0B3-DC7EE3740CBE}"/>
            </a:ext>
          </a:extLst>
        </xdr:cNvPr>
        <xdr:cNvSpPr/>
      </xdr:nvSpPr>
      <xdr:spPr>
        <a:xfrm>
          <a:off x="0" y="176942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1057</xdr:row>
      <xdr:rowOff>0</xdr:rowOff>
    </xdr:from>
    <xdr:to>
      <xdr:col>0</xdr:col>
      <xdr:colOff>323850</xdr:colOff>
      <xdr:row>1058</xdr:row>
      <xdr:rowOff>120650</xdr:rowOff>
    </xdr:to>
    <xdr:sp macro="" textlink="">
      <xdr:nvSpPr>
        <xdr:cNvPr id="366" name="Frame 365">
          <a:extLst>
            <a:ext uri="{FF2B5EF4-FFF2-40B4-BE49-F238E27FC236}">
              <a16:creationId xmlns:a16="http://schemas.microsoft.com/office/drawing/2014/main" id="{09ED9FF4-95CC-461F-8C44-D4D5ED0282CD}"/>
            </a:ext>
          </a:extLst>
        </xdr:cNvPr>
        <xdr:cNvSpPr/>
      </xdr:nvSpPr>
      <xdr:spPr>
        <a:xfrm>
          <a:off x="0" y="17731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1059</xdr:row>
      <xdr:rowOff>0</xdr:rowOff>
    </xdr:from>
    <xdr:to>
      <xdr:col>0</xdr:col>
      <xdr:colOff>323850</xdr:colOff>
      <xdr:row>1060</xdr:row>
      <xdr:rowOff>120650</xdr:rowOff>
    </xdr:to>
    <xdr:sp macro="" textlink="">
      <xdr:nvSpPr>
        <xdr:cNvPr id="367" name="Frame 366">
          <a:extLst>
            <a:ext uri="{FF2B5EF4-FFF2-40B4-BE49-F238E27FC236}">
              <a16:creationId xmlns:a16="http://schemas.microsoft.com/office/drawing/2014/main" id="{0E08A248-154C-400D-A5D2-50CC3270C212}"/>
            </a:ext>
          </a:extLst>
        </xdr:cNvPr>
        <xdr:cNvSpPr/>
      </xdr:nvSpPr>
      <xdr:spPr>
        <a:xfrm>
          <a:off x="0" y="177679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1061</xdr:row>
      <xdr:rowOff>0</xdr:rowOff>
    </xdr:from>
    <xdr:to>
      <xdr:col>0</xdr:col>
      <xdr:colOff>323850</xdr:colOff>
      <xdr:row>1062</xdr:row>
      <xdr:rowOff>120650</xdr:rowOff>
    </xdr:to>
    <xdr:sp macro="" textlink="">
      <xdr:nvSpPr>
        <xdr:cNvPr id="368" name="Frame 367">
          <a:extLst>
            <a:ext uri="{FF2B5EF4-FFF2-40B4-BE49-F238E27FC236}">
              <a16:creationId xmlns:a16="http://schemas.microsoft.com/office/drawing/2014/main" id="{4E3FA21B-0585-45B0-995F-F04709753F90}"/>
            </a:ext>
          </a:extLst>
        </xdr:cNvPr>
        <xdr:cNvSpPr/>
      </xdr:nvSpPr>
      <xdr:spPr>
        <a:xfrm>
          <a:off x="0" y="17804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1063</xdr:row>
      <xdr:rowOff>0</xdr:rowOff>
    </xdr:from>
    <xdr:to>
      <xdr:col>0</xdr:col>
      <xdr:colOff>323850</xdr:colOff>
      <xdr:row>1064</xdr:row>
      <xdr:rowOff>120650</xdr:rowOff>
    </xdr:to>
    <xdr:sp macro="" textlink="">
      <xdr:nvSpPr>
        <xdr:cNvPr id="369" name="Frame 368">
          <a:extLst>
            <a:ext uri="{FF2B5EF4-FFF2-40B4-BE49-F238E27FC236}">
              <a16:creationId xmlns:a16="http://schemas.microsoft.com/office/drawing/2014/main" id="{D29018AC-F64A-4EB4-8354-8DB6EFE017D0}"/>
            </a:ext>
          </a:extLst>
        </xdr:cNvPr>
        <xdr:cNvSpPr/>
      </xdr:nvSpPr>
      <xdr:spPr>
        <a:xfrm>
          <a:off x="0" y="17841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1065</xdr:row>
      <xdr:rowOff>0</xdr:rowOff>
    </xdr:from>
    <xdr:to>
      <xdr:col>0</xdr:col>
      <xdr:colOff>323850</xdr:colOff>
      <xdr:row>1066</xdr:row>
      <xdr:rowOff>120650</xdr:rowOff>
    </xdr:to>
    <xdr:sp macro="" textlink="">
      <xdr:nvSpPr>
        <xdr:cNvPr id="370" name="Frame 369">
          <a:extLst>
            <a:ext uri="{FF2B5EF4-FFF2-40B4-BE49-F238E27FC236}">
              <a16:creationId xmlns:a16="http://schemas.microsoft.com/office/drawing/2014/main" id="{D36F8675-63BF-45F3-886B-CC82ABA1524E}"/>
            </a:ext>
          </a:extLst>
        </xdr:cNvPr>
        <xdr:cNvSpPr/>
      </xdr:nvSpPr>
      <xdr:spPr>
        <a:xfrm>
          <a:off x="0" y="17878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1067</xdr:row>
      <xdr:rowOff>0</xdr:rowOff>
    </xdr:from>
    <xdr:to>
      <xdr:col>0</xdr:col>
      <xdr:colOff>323850</xdr:colOff>
      <xdr:row>1068</xdr:row>
      <xdr:rowOff>120650</xdr:rowOff>
    </xdr:to>
    <xdr:sp macro="" textlink="">
      <xdr:nvSpPr>
        <xdr:cNvPr id="371" name="Frame 370">
          <a:extLst>
            <a:ext uri="{FF2B5EF4-FFF2-40B4-BE49-F238E27FC236}">
              <a16:creationId xmlns:a16="http://schemas.microsoft.com/office/drawing/2014/main" id="{DBC3A4DA-31D0-4AB9-ABFD-D9C769035356}"/>
            </a:ext>
          </a:extLst>
        </xdr:cNvPr>
        <xdr:cNvSpPr/>
      </xdr:nvSpPr>
      <xdr:spPr>
        <a:xfrm>
          <a:off x="0" y="17915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1083</xdr:row>
      <xdr:rowOff>177800</xdr:rowOff>
    </xdr:from>
    <xdr:to>
      <xdr:col>0</xdr:col>
      <xdr:colOff>330200</xdr:colOff>
      <xdr:row>1085</xdr:row>
      <xdr:rowOff>114300</xdr:rowOff>
    </xdr:to>
    <xdr:sp macro="" textlink="">
      <xdr:nvSpPr>
        <xdr:cNvPr id="372" name="Frame 371">
          <a:extLst>
            <a:ext uri="{FF2B5EF4-FFF2-40B4-BE49-F238E27FC236}">
              <a16:creationId xmlns:a16="http://schemas.microsoft.com/office/drawing/2014/main" id="{ECAA2A9F-C728-494F-AC46-D163C4627B34}"/>
            </a:ext>
          </a:extLst>
        </xdr:cNvPr>
        <xdr:cNvSpPr/>
      </xdr:nvSpPr>
      <xdr:spPr>
        <a:xfrm>
          <a:off x="6350" y="18392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1086</xdr:row>
      <xdr:rowOff>0</xdr:rowOff>
    </xdr:from>
    <xdr:to>
      <xdr:col>0</xdr:col>
      <xdr:colOff>323850</xdr:colOff>
      <xdr:row>1087</xdr:row>
      <xdr:rowOff>120650</xdr:rowOff>
    </xdr:to>
    <xdr:sp macro="" textlink="">
      <xdr:nvSpPr>
        <xdr:cNvPr id="373" name="Frame 372">
          <a:extLst>
            <a:ext uri="{FF2B5EF4-FFF2-40B4-BE49-F238E27FC236}">
              <a16:creationId xmlns:a16="http://schemas.microsoft.com/office/drawing/2014/main" id="{4E73ECF8-0595-4BBA-99CD-C1C8D2DEA254}"/>
            </a:ext>
          </a:extLst>
        </xdr:cNvPr>
        <xdr:cNvSpPr/>
      </xdr:nvSpPr>
      <xdr:spPr>
        <a:xfrm>
          <a:off x="0" y="18430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1088</xdr:row>
      <xdr:rowOff>0</xdr:rowOff>
    </xdr:from>
    <xdr:to>
      <xdr:col>0</xdr:col>
      <xdr:colOff>323850</xdr:colOff>
      <xdr:row>1089</xdr:row>
      <xdr:rowOff>120650</xdr:rowOff>
    </xdr:to>
    <xdr:sp macro="" textlink="">
      <xdr:nvSpPr>
        <xdr:cNvPr id="374" name="Frame 373">
          <a:extLst>
            <a:ext uri="{FF2B5EF4-FFF2-40B4-BE49-F238E27FC236}">
              <a16:creationId xmlns:a16="http://schemas.microsoft.com/office/drawing/2014/main" id="{D810B3A9-D059-4F11-8237-F10E20C17A3A}"/>
            </a:ext>
          </a:extLst>
        </xdr:cNvPr>
        <xdr:cNvSpPr/>
      </xdr:nvSpPr>
      <xdr:spPr>
        <a:xfrm>
          <a:off x="0" y="18467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1090</xdr:row>
      <xdr:rowOff>0</xdr:rowOff>
    </xdr:from>
    <xdr:to>
      <xdr:col>0</xdr:col>
      <xdr:colOff>323850</xdr:colOff>
      <xdr:row>1091</xdr:row>
      <xdr:rowOff>120650</xdr:rowOff>
    </xdr:to>
    <xdr:sp macro="" textlink="">
      <xdr:nvSpPr>
        <xdr:cNvPr id="375" name="Frame 374">
          <a:extLst>
            <a:ext uri="{FF2B5EF4-FFF2-40B4-BE49-F238E27FC236}">
              <a16:creationId xmlns:a16="http://schemas.microsoft.com/office/drawing/2014/main" id="{887969D9-9C0D-41DC-AFFE-36BFECA360BA}"/>
            </a:ext>
          </a:extLst>
        </xdr:cNvPr>
        <xdr:cNvSpPr/>
      </xdr:nvSpPr>
      <xdr:spPr>
        <a:xfrm>
          <a:off x="0" y="18503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1092</xdr:row>
      <xdr:rowOff>0</xdr:rowOff>
    </xdr:from>
    <xdr:to>
      <xdr:col>0</xdr:col>
      <xdr:colOff>323850</xdr:colOff>
      <xdr:row>1093</xdr:row>
      <xdr:rowOff>120650</xdr:rowOff>
    </xdr:to>
    <xdr:sp macro="" textlink="">
      <xdr:nvSpPr>
        <xdr:cNvPr id="376" name="Frame 375">
          <a:extLst>
            <a:ext uri="{FF2B5EF4-FFF2-40B4-BE49-F238E27FC236}">
              <a16:creationId xmlns:a16="http://schemas.microsoft.com/office/drawing/2014/main" id="{368FE1BC-0C3D-4AF8-A334-6FCA4AEDE5A5}"/>
            </a:ext>
          </a:extLst>
        </xdr:cNvPr>
        <xdr:cNvSpPr/>
      </xdr:nvSpPr>
      <xdr:spPr>
        <a:xfrm>
          <a:off x="0" y="18540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1094</xdr:row>
      <xdr:rowOff>0</xdr:rowOff>
    </xdr:from>
    <xdr:to>
      <xdr:col>0</xdr:col>
      <xdr:colOff>323850</xdr:colOff>
      <xdr:row>1095</xdr:row>
      <xdr:rowOff>120650</xdr:rowOff>
    </xdr:to>
    <xdr:sp macro="" textlink="">
      <xdr:nvSpPr>
        <xdr:cNvPr id="377" name="Frame 376">
          <a:extLst>
            <a:ext uri="{FF2B5EF4-FFF2-40B4-BE49-F238E27FC236}">
              <a16:creationId xmlns:a16="http://schemas.microsoft.com/office/drawing/2014/main" id="{7337C9F0-5967-462E-B8DB-41ADA91E2660}"/>
            </a:ext>
          </a:extLst>
        </xdr:cNvPr>
        <xdr:cNvSpPr/>
      </xdr:nvSpPr>
      <xdr:spPr>
        <a:xfrm>
          <a:off x="0" y="18577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1096</xdr:row>
      <xdr:rowOff>0</xdr:rowOff>
    </xdr:from>
    <xdr:to>
      <xdr:col>0</xdr:col>
      <xdr:colOff>323850</xdr:colOff>
      <xdr:row>1097</xdr:row>
      <xdr:rowOff>120650</xdr:rowOff>
    </xdr:to>
    <xdr:sp macro="" textlink="">
      <xdr:nvSpPr>
        <xdr:cNvPr id="378" name="Frame 377">
          <a:extLst>
            <a:ext uri="{FF2B5EF4-FFF2-40B4-BE49-F238E27FC236}">
              <a16:creationId xmlns:a16="http://schemas.microsoft.com/office/drawing/2014/main" id="{DE9400BB-2D30-403D-9115-78F1D00AA108}"/>
            </a:ext>
          </a:extLst>
        </xdr:cNvPr>
        <xdr:cNvSpPr/>
      </xdr:nvSpPr>
      <xdr:spPr>
        <a:xfrm>
          <a:off x="0" y="18614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1098</xdr:row>
      <xdr:rowOff>0</xdr:rowOff>
    </xdr:from>
    <xdr:to>
      <xdr:col>0</xdr:col>
      <xdr:colOff>323850</xdr:colOff>
      <xdr:row>1099</xdr:row>
      <xdr:rowOff>120650</xdr:rowOff>
    </xdr:to>
    <xdr:sp macro="" textlink="">
      <xdr:nvSpPr>
        <xdr:cNvPr id="379" name="Frame 378">
          <a:extLst>
            <a:ext uri="{FF2B5EF4-FFF2-40B4-BE49-F238E27FC236}">
              <a16:creationId xmlns:a16="http://schemas.microsoft.com/office/drawing/2014/main" id="{C63A6091-C1AF-4F4D-9823-4929BF4D23E4}"/>
            </a:ext>
          </a:extLst>
        </xdr:cNvPr>
        <xdr:cNvSpPr/>
      </xdr:nvSpPr>
      <xdr:spPr>
        <a:xfrm>
          <a:off x="0" y="18651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1100</xdr:row>
      <xdr:rowOff>0</xdr:rowOff>
    </xdr:from>
    <xdr:to>
      <xdr:col>0</xdr:col>
      <xdr:colOff>323850</xdr:colOff>
      <xdr:row>1101</xdr:row>
      <xdr:rowOff>120650</xdr:rowOff>
    </xdr:to>
    <xdr:sp macro="" textlink="">
      <xdr:nvSpPr>
        <xdr:cNvPr id="381" name="Frame 380">
          <a:extLst>
            <a:ext uri="{FF2B5EF4-FFF2-40B4-BE49-F238E27FC236}">
              <a16:creationId xmlns:a16="http://schemas.microsoft.com/office/drawing/2014/main" id="{20E4B52F-C199-481E-95E2-BF0401E54058}"/>
            </a:ext>
          </a:extLst>
        </xdr:cNvPr>
        <xdr:cNvSpPr/>
      </xdr:nvSpPr>
      <xdr:spPr>
        <a:xfrm>
          <a:off x="0" y="18688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1102</xdr:row>
      <xdr:rowOff>0</xdr:rowOff>
    </xdr:from>
    <xdr:to>
      <xdr:col>0</xdr:col>
      <xdr:colOff>323850</xdr:colOff>
      <xdr:row>1103</xdr:row>
      <xdr:rowOff>120650</xdr:rowOff>
    </xdr:to>
    <xdr:sp macro="" textlink="">
      <xdr:nvSpPr>
        <xdr:cNvPr id="382" name="Frame 381">
          <a:extLst>
            <a:ext uri="{FF2B5EF4-FFF2-40B4-BE49-F238E27FC236}">
              <a16:creationId xmlns:a16="http://schemas.microsoft.com/office/drawing/2014/main" id="{6A5E3BB9-9C31-4C25-B2B9-87AD35C4B7AA}"/>
            </a:ext>
          </a:extLst>
        </xdr:cNvPr>
        <xdr:cNvSpPr/>
      </xdr:nvSpPr>
      <xdr:spPr>
        <a:xfrm>
          <a:off x="0" y="18724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1104</xdr:row>
      <xdr:rowOff>0</xdr:rowOff>
    </xdr:from>
    <xdr:to>
      <xdr:col>0</xdr:col>
      <xdr:colOff>323850</xdr:colOff>
      <xdr:row>1105</xdr:row>
      <xdr:rowOff>120650</xdr:rowOff>
    </xdr:to>
    <xdr:sp macro="" textlink="">
      <xdr:nvSpPr>
        <xdr:cNvPr id="383" name="Frame 382">
          <a:extLst>
            <a:ext uri="{FF2B5EF4-FFF2-40B4-BE49-F238E27FC236}">
              <a16:creationId xmlns:a16="http://schemas.microsoft.com/office/drawing/2014/main" id="{B4724473-F8DA-4052-BAE3-6B0F93734B58}"/>
            </a:ext>
          </a:extLst>
        </xdr:cNvPr>
        <xdr:cNvSpPr/>
      </xdr:nvSpPr>
      <xdr:spPr>
        <a:xfrm>
          <a:off x="0" y="18761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1106</xdr:row>
      <xdr:rowOff>0</xdr:rowOff>
    </xdr:from>
    <xdr:to>
      <xdr:col>0</xdr:col>
      <xdr:colOff>323850</xdr:colOff>
      <xdr:row>1107</xdr:row>
      <xdr:rowOff>120650</xdr:rowOff>
    </xdr:to>
    <xdr:sp macro="" textlink="">
      <xdr:nvSpPr>
        <xdr:cNvPr id="384" name="Frame 383">
          <a:extLst>
            <a:ext uri="{FF2B5EF4-FFF2-40B4-BE49-F238E27FC236}">
              <a16:creationId xmlns:a16="http://schemas.microsoft.com/office/drawing/2014/main" id="{7D455A5B-9E34-473F-B26C-CBC438F8F53E}"/>
            </a:ext>
          </a:extLst>
        </xdr:cNvPr>
        <xdr:cNvSpPr/>
      </xdr:nvSpPr>
      <xdr:spPr>
        <a:xfrm>
          <a:off x="0" y="18798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1128</xdr:row>
      <xdr:rowOff>177800</xdr:rowOff>
    </xdr:from>
    <xdr:to>
      <xdr:col>0</xdr:col>
      <xdr:colOff>330200</xdr:colOff>
      <xdr:row>1130</xdr:row>
      <xdr:rowOff>114300</xdr:rowOff>
    </xdr:to>
    <xdr:sp macro="" textlink="">
      <xdr:nvSpPr>
        <xdr:cNvPr id="389" name="Frame 388">
          <a:extLst>
            <a:ext uri="{FF2B5EF4-FFF2-40B4-BE49-F238E27FC236}">
              <a16:creationId xmlns:a16="http://schemas.microsoft.com/office/drawing/2014/main" id="{D5A85743-7CDF-43CC-A06F-D87E00407AE4}"/>
            </a:ext>
          </a:extLst>
        </xdr:cNvPr>
        <xdr:cNvSpPr/>
      </xdr:nvSpPr>
      <xdr:spPr>
        <a:xfrm>
          <a:off x="6350" y="19276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1131</xdr:row>
      <xdr:rowOff>0</xdr:rowOff>
    </xdr:from>
    <xdr:to>
      <xdr:col>0</xdr:col>
      <xdr:colOff>323850</xdr:colOff>
      <xdr:row>1132</xdr:row>
      <xdr:rowOff>120650</xdr:rowOff>
    </xdr:to>
    <xdr:sp macro="" textlink="">
      <xdr:nvSpPr>
        <xdr:cNvPr id="390" name="Frame 389">
          <a:extLst>
            <a:ext uri="{FF2B5EF4-FFF2-40B4-BE49-F238E27FC236}">
              <a16:creationId xmlns:a16="http://schemas.microsoft.com/office/drawing/2014/main" id="{495AE419-C6E2-4ADD-9735-96760B30617D}"/>
            </a:ext>
          </a:extLst>
        </xdr:cNvPr>
        <xdr:cNvSpPr/>
      </xdr:nvSpPr>
      <xdr:spPr>
        <a:xfrm>
          <a:off x="0" y="193135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1133</xdr:row>
      <xdr:rowOff>0</xdr:rowOff>
    </xdr:from>
    <xdr:to>
      <xdr:col>0</xdr:col>
      <xdr:colOff>323850</xdr:colOff>
      <xdr:row>1134</xdr:row>
      <xdr:rowOff>120650</xdr:rowOff>
    </xdr:to>
    <xdr:sp macro="" textlink="">
      <xdr:nvSpPr>
        <xdr:cNvPr id="391" name="Frame 390">
          <a:extLst>
            <a:ext uri="{FF2B5EF4-FFF2-40B4-BE49-F238E27FC236}">
              <a16:creationId xmlns:a16="http://schemas.microsoft.com/office/drawing/2014/main" id="{2A413A9E-3543-4CCF-8E70-E8119A8713AF}"/>
            </a:ext>
          </a:extLst>
        </xdr:cNvPr>
        <xdr:cNvSpPr/>
      </xdr:nvSpPr>
      <xdr:spPr>
        <a:xfrm>
          <a:off x="0" y="193503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1135</xdr:row>
      <xdr:rowOff>0</xdr:rowOff>
    </xdr:from>
    <xdr:to>
      <xdr:col>0</xdr:col>
      <xdr:colOff>323850</xdr:colOff>
      <xdr:row>1136</xdr:row>
      <xdr:rowOff>120650</xdr:rowOff>
    </xdr:to>
    <xdr:sp macro="" textlink="">
      <xdr:nvSpPr>
        <xdr:cNvPr id="392" name="Frame 391">
          <a:extLst>
            <a:ext uri="{FF2B5EF4-FFF2-40B4-BE49-F238E27FC236}">
              <a16:creationId xmlns:a16="http://schemas.microsoft.com/office/drawing/2014/main" id="{E7D47E6D-3066-4878-A54A-A0E1FB608D59}"/>
            </a:ext>
          </a:extLst>
        </xdr:cNvPr>
        <xdr:cNvSpPr/>
      </xdr:nvSpPr>
      <xdr:spPr>
        <a:xfrm>
          <a:off x="0" y="193871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1137</xdr:row>
      <xdr:rowOff>0</xdr:rowOff>
    </xdr:from>
    <xdr:to>
      <xdr:col>0</xdr:col>
      <xdr:colOff>323850</xdr:colOff>
      <xdr:row>1138</xdr:row>
      <xdr:rowOff>120650</xdr:rowOff>
    </xdr:to>
    <xdr:sp macro="" textlink="">
      <xdr:nvSpPr>
        <xdr:cNvPr id="393" name="Frame 392">
          <a:extLst>
            <a:ext uri="{FF2B5EF4-FFF2-40B4-BE49-F238E27FC236}">
              <a16:creationId xmlns:a16="http://schemas.microsoft.com/office/drawing/2014/main" id="{69D16062-8EFB-4D1B-954D-2605E5DEEA29}"/>
            </a:ext>
          </a:extLst>
        </xdr:cNvPr>
        <xdr:cNvSpPr/>
      </xdr:nvSpPr>
      <xdr:spPr>
        <a:xfrm>
          <a:off x="0" y="194240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1139</xdr:row>
      <xdr:rowOff>0</xdr:rowOff>
    </xdr:from>
    <xdr:to>
      <xdr:col>0</xdr:col>
      <xdr:colOff>323850</xdr:colOff>
      <xdr:row>1140</xdr:row>
      <xdr:rowOff>120650</xdr:rowOff>
    </xdr:to>
    <xdr:sp macro="" textlink="">
      <xdr:nvSpPr>
        <xdr:cNvPr id="394" name="Frame 393">
          <a:extLst>
            <a:ext uri="{FF2B5EF4-FFF2-40B4-BE49-F238E27FC236}">
              <a16:creationId xmlns:a16="http://schemas.microsoft.com/office/drawing/2014/main" id="{8E9DAB10-3D65-44D1-8710-EC6C74999DC8}"/>
            </a:ext>
          </a:extLst>
        </xdr:cNvPr>
        <xdr:cNvSpPr/>
      </xdr:nvSpPr>
      <xdr:spPr>
        <a:xfrm>
          <a:off x="0" y="194608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1141</xdr:row>
      <xdr:rowOff>0</xdr:rowOff>
    </xdr:from>
    <xdr:to>
      <xdr:col>0</xdr:col>
      <xdr:colOff>323850</xdr:colOff>
      <xdr:row>1142</xdr:row>
      <xdr:rowOff>120650</xdr:rowOff>
    </xdr:to>
    <xdr:sp macro="" textlink="">
      <xdr:nvSpPr>
        <xdr:cNvPr id="395" name="Frame 394">
          <a:extLst>
            <a:ext uri="{FF2B5EF4-FFF2-40B4-BE49-F238E27FC236}">
              <a16:creationId xmlns:a16="http://schemas.microsoft.com/office/drawing/2014/main" id="{D3F8F27A-B50B-47D0-99FF-47450A17558A}"/>
            </a:ext>
          </a:extLst>
        </xdr:cNvPr>
        <xdr:cNvSpPr/>
      </xdr:nvSpPr>
      <xdr:spPr>
        <a:xfrm>
          <a:off x="0" y="19497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1143</xdr:row>
      <xdr:rowOff>0</xdr:rowOff>
    </xdr:from>
    <xdr:to>
      <xdr:col>0</xdr:col>
      <xdr:colOff>323850</xdr:colOff>
      <xdr:row>1144</xdr:row>
      <xdr:rowOff>120650</xdr:rowOff>
    </xdr:to>
    <xdr:sp macro="" textlink="">
      <xdr:nvSpPr>
        <xdr:cNvPr id="396" name="Frame 395">
          <a:extLst>
            <a:ext uri="{FF2B5EF4-FFF2-40B4-BE49-F238E27FC236}">
              <a16:creationId xmlns:a16="http://schemas.microsoft.com/office/drawing/2014/main" id="{4B5B33BA-9432-4B3F-B085-46737A43E8F4}"/>
            </a:ext>
          </a:extLst>
        </xdr:cNvPr>
        <xdr:cNvSpPr/>
      </xdr:nvSpPr>
      <xdr:spPr>
        <a:xfrm>
          <a:off x="0" y="19534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1145</xdr:row>
      <xdr:rowOff>0</xdr:rowOff>
    </xdr:from>
    <xdr:to>
      <xdr:col>0</xdr:col>
      <xdr:colOff>323850</xdr:colOff>
      <xdr:row>1146</xdr:row>
      <xdr:rowOff>120650</xdr:rowOff>
    </xdr:to>
    <xdr:sp macro="" textlink="">
      <xdr:nvSpPr>
        <xdr:cNvPr id="397" name="Frame 396">
          <a:extLst>
            <a:ext uri="{FF2B5EF4-FFF2-40B4-BE49-F238E27FC236}">
              <a16:creationId xmlns:a16="http://schemas.microsoft.com/office/drawing/2014/main" id="{05993743-C70E-43E5-8001-1681B1080769}"/>
            </a:ext>
          </a:extLst>
        </xdr:cNvPr>
        <xdr:cNvSpPr/>
      </xdr:nvSpPr>
      <xdr:spPr>
        <a:xfrm>
          <a:off x="0" y="19571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1147</xdr:row>
      <xdr:rowOff>0</xdr:rowOff>
    </xdr:from>
    <xdr:to>
      <xdr:col>0</xdr:col>
      <xdr:colOff>323850</xdr:colOff>
      <xdr:row>1148</xdr:row>
      <xdr:rowOff>120650</xdr:rowOff>
    </xdr:to>
    <xdr:sp macro="" textlink="">
      <xdr:nvSpPr>
        <xdr:cNvPr id="398" name="Frame 397">
          <a:extLst>
            <a:ext uri="{FF2B5EF4-FFF2-40B4-BE49-F238E27FC236}">
              <a16:creationId xmlns:a16="http://schemas.microsoft.com/office/drawing/2014/main" id="{EECA7625-1E53-4722-BC8A-D76DE45FB596}"/>
            </a:ext>
          </a:extLst>
        </xdr:cNvPr>
        <xdr:cNvSpPr/>
      </xdr:nvSpPr>
      <xdr:spPr>
        <a:xfrm>
          <a:off x="0" y="19608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1162</xdr:row>
      <xdr:rowOff>177800</xdr:rowOff>
    </xdr:from>
    <xdr:to>
      <xdr:col>0</xdr:col>
      <xdr:colOff>330200</xdr:colOff>
      <xdr:row>1164</xdr:row>
      <xdr:rowOff>114300</xdr:rowOff>
    </xdr:to>
    <xdr:sp macro="" textlink="">
      <xdr:nvSpPr>
        <xdr:cNvPr id="402" name="Frame 401">
          <a:extLst>
            <a:ext uri="{FF2B5EF4-FFF2-40B4-BE49-F238E27FC236}">
              <a16:creationId xmlns:a16="http://schemas.microsoft.com/office/drawing/2014/main" id="{08DAF69A-BDE5-483A-B504-138DF439C35B}"/>
            </a:ext>
          </a:extLst>
        </xdr:cNvPr>
        <xdr:cNvSpPr/>
      </xdr:nvSpPr>
      <xdr:spPr>
        <a:xfrm>
          <a:off x="6350" y="20012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323850</xdr:colOff>
      <xdr:row>1166</xdr:row>
      <xdr:rowOff>120650</xdr:rowOff>
    </xdr:to>
    <xdr:sp macro="" textlink="">
      <xdr:nvSpPr>
        <xdr:cNvPr id="403" name="Frame 402">
          <a:extLst>
            <a:ext uri="{FF2B5EF4-FFF2-40B4-BE49-F238E27FC236}">
              <a16:creationId xmlns:a16="http://schemas.microsoft.com/office/drawing/2014/main" id="{9729E274-915B-46AD-A180-EF4029E08D24}"/>
            </a:ext>
          </a:extLst>
        </xdr:cNvPr>
        <xdr:cNvSpPr/>
      </xdr:nvSpPr>
      <xdr:spPr>
        <a:xfrm>
          <a:off x="0" y="200494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1167</xdr:row>
      <xdr:rowOff>0</xdr:rowOff>
    </xdr:from>
    <xdr:to>
      <xdr:col>0</xdr:col>
      <xdr:colOff>323850</xdr:colOff>
      <xdr:row>1168</xdr:row>
      <xdr:rowOff>120650</xdr:rowOff>
    </xdr:to>
    <xdr:sp macro="" textlink="">
      <xdr:nvSpPr>
        <xdr:cNvPr id="404" name="Frame 403">
          <a:extLst>
            <a:ext uri="{FF2B5EF4-FFF2-40B4-BE49-F238E27FC236}">
              <a16:creationId xmlns:a16="http://schemas.microsoft.com/office/drawing/2014/main" id="{8D2FD178-BDDD-4AD6-B326-49675B23B44B}"/>
            </a:ext>
          </a:extLst>
        </xdr:cNvPr>
        <xdr:cNvSpPr/>
      </xdr:nvSpPr>
      <xdr:spPr>
        <a:xfrm>
          <a:off x="0" y="200863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1169</xdr:row>
      <xdr:rowOff>0</xdr:rowOff>
    </xdr:from>
    <xdr:to>
      <xdr:col>0</xdr:col>
      <xdr:colOff>323850</xdr:colOff>
      <xdr:row>1170</xdr:row>
      <xdr:rowOff>120650</xdr:rowOff>
    </xdr:to>
    <xdr:sp macro="" textlink="">
      <xdr:nvSpPr>
        <xdr:cNvPr id="405" name="Frame 404">
          <a:extLst>
            <a:ext uri="{FF2B5EF4-FFF2-40B4-BE49-F238E27FC236}">
              <a16:creationId xmlns:a16="http://schemas.microsoft.com/office/drawing/2014/main" id="{F53D9943-B7CA-41FA-BDE1-D8BDA5009A0F}"/>
            </a:ext>
          </a:extLst>
        </xdr:cNvPr>
        <xdr:cNvSpPr/>
      </xdr:nvSpPr>
      <xdr:spPr>
        <a:xfrm>
          <a:off x="0" y="20123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1171</xdr:row>
      <xdr:rowOff>0</xdr:rowOff>
    </xdr:from>
    <xdr:to>
      <xdr:col>0</xdr:col>
      <xdr:colOff>323850</xdr:colOff>
      <xdr:row>1172</xdr:row>
      <xdr:rowOff>120650</xdr:rowOff>
    </xdr:to>
    <xdr:sp macro="" textlink="">
      <xdr:nvSpPr>
        <xdr:cNvPr id="406" name="Frame 405">
          <a:extLst>
            <a:ext uri="{FF2B5EF4-FFF2-40B4-BE49-F238E27FC236}">
              <a16:creationId xmlns:a16="http://schemas.microsoft.com/office/drawing/2014/main" id="{BCE1270D-6401-4F3F-933C-7B7D0FB7B6EE}"/>
            </a:ext>
          </a:extLst>
        </xdr:cNvPr>
        <xdr:cNvSpPr/>
      </xdr:nvSpPr>
      <xdr:spPr>
        <a:xfrm>
          <a:off x="0" y="20159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1173</xdr:row>
      <xdr:rowOff>0</xdr:rowOff>
    </xdr:from>
    <xdr:to>
      <xdr:col>0</xdr:col>
      <xdr:colOff>323850</xdr:colOff>
      <xdr:row>1174</xdr:row>
      <xdr:rowOff>120650</xdr:rowOff>
    </xdr:to>
    <xdr:sp macro="" textlink="">
      <xdr:nvSpPr>
        <xdr:cNvPr id="412" name="Frame 411">
          <a:extLst>
            <a:ext uri="{FF2B5EF4-FFF2-40B4-BE49-F238E27FC236}">
              <a16:creationId xmlns:a16="http://schemas.microsoft.com/office/drawing/2014/main" id="{DDFC9E01-542C-47F1-AD23-46D873E22E34}"/>
            </a:ext>
          </a:extLst>
        </xdr:cNvPr>
        <xdr:cNvSpPr/>
      </xdr:nvSpPr>
      <xdr:spPr>
        <a:xfrm>
          <a:off x="0" y="20822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1175</xdr:row>
      <xdr:rowOff>0</xdr:rowOff>
    </xdr:from>
    <xdr:to>
      <xdr:col>0</xdr:col>
      <xdr:colOff>323850</xdr:colOff>
      <xdr:row>1176</xdr:row>
      <xdr:rowOff>120650</xdr:rowOff>
    </xdr:to>
    <xdr:sp macro="" textlink="">
      <xdr:nvSpPr>
        <xdr:cNvPr id="413" name="Frame 412">
          <a:extLst>
            <a:ext uri="{FF2B5EF4-FFF2-40B4-BE49-F238E27FC236}">
              <a16:creationId xmlns:a16="http://schemas.microsoft.com/office/drawing/2014/main" id="{10819F0F-1C47-4CE6-988C-2C888CB39AEA}"/>
            </a:ext>
          </a:extLst>
        </xdr:cNvPr>
        <xdr:cNvSpPr/>
      </xdr:nvSpPr>
      <xdr:spPr>
        <a:xfrm>
          <a:off x="0" y="208597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1189</xdr:row>
      <xdr:rowOff>177800</xdr:rowOff>
    </xdr:from>
    <xdr:to>
      <xdr:col>0</xdr:col>
      <xdr:colOff>330200</xdr:colOff>
      <xdr:row>1191</xdr:row>
      <xdr:rowOff>114300</xdr:rowOff>
    </xdr:to>
    <xdr:sp macro="" textlink="">
      <xdr:nvSpPr>
        <xdr:cNvPr id="414" name="Frame 413">
          <a:extLst>
            <a:ext uri="{FF2B5EF4-FFF2-40B4-BE49-F238E27FC236}">
              <a16:creationId xmlns:a16="http://schemas.microsoft.com/office/drawing/2014/main" id="{20033303-5246-4913-A052-DDAE8A354237}"/>
            </a:ext>
          </a:extLst>
        </xdr:cNvPr>
        <xdr:cNvSpPr/>
      </xdr:nvSpPr>
      <xdr:spPr>
        <a:xfrm>
          <a:off x="6350" y="20637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1192</xdr:row>
      <xdr:rowOff>0</xdr:rowOff>
    </xdr:from>
    <xdr:to>
      <xdr:col>0</xdr:col>
      <xdr:colOff>323850</xdr:colOff>
      <xdr:row>1193</xdr:row>
      <xdr:rowOff>120650</xdr:rowOff>
    </xdr:to>
    <xdr:sp macro="" textlink="">
      <xdr:nvSpPr>
        <xdr:cNvPr id="415" name="Frame 414">
          <a:extLst>
            <a:ext uri="{FF2B5EF4-FFF2-40B4-BE49-F238E27FC236}">
              <a16:creationId xmlns:a16="http://schemas.microsoft.com/office/drawing/2014/main" id="{A1A222C9-6C84-49CC-BD9D-E2C3F9E1C8EA}"/>
            </a:ext>
          </a:extLst>
        </xdr:cNvPr>
        <xdr:cNvSpPr/>
      </xdr:nvSpPr>
      <xdr:spPr>
        <a:xfrm>
          <a:off x="0" y="206749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1194</xdr:row>
      <xdr:rowOff>0</xdr:rowOff>
    </xdr:from>
    <xdr:to>
      <xdr:col>0</xdr:col>
      <xdr:colOff>323850</xdr:colOff>
      <xdr:row>1195</xdr:row>
      <xdr:rowOff>120650</xdr:rowOff>
    </xdr:to>
    <xdr:sp macro="" textlink="">
      <xdr:nvSpPr>
        <xdr:cNvPr id="416" name="Frame 415">
          <a:extLst>
            <a:ext uri="{FF2B5EF4-FFF2-40B4-BE49-F238E27FC236}">
              <a16:creationId xmlns:a16="http://schemas.microsoft.com/office/drawing/2014/main" id="{DA5DB15B-3B75-4B47-9B85-E41F0AA72633}"/>
            </a:ext>
          </a:extLst>
        </xdr:cNvPr>
        <xdr:cNvSpPr/>
      </xdr:nvSpPr>
      <xdr:spPr>
        <a:xfrm>
          <a:off x="0" y="207117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323850</xdr:colOff>
      <xdr:row>1197</xdr:row>
      <xdr:rowOff>120650</xdr:rowOff>
    </xdr:to>
    <xdr:sp macro="" textlink="">
      <xdr:nvSpPr>
        <xdr:cNvPr id="417" name="Frame 416">
          <a:extLst>
            <a:ext uri="{FF2B5EF4-FFF2-40B4-BE49-F238E27FC236}">
              <a16:creationId xmlns:a16="http://schemas.microsoft.com/office/drawing/2014/main" id="{44A8DCF8-5A48-4474-9895-48AD6951D6A4}"/>
            </a:ext>
          </a:extLst>
        </xdr:cNvPr>
        <xdr:cNvSpPr/>
      </xdr:nvSpPr>
      <xdr:spPr>
        <a:xfrm>
          <a:off x="0" y="207486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1198</xdr:row>
      <xdr:rowOff>0</xdr:rowOff>
    </xdr:from>
    <xdr:to>
      <xdr:col>0</xdr:col>
      <xdr:colOff>323850</xdr:colOff>
      <xdr:row>1199</xdr:row>
      <xdr:rowOff>120650</xdr:rowOff>
    </xdr:to>
    <xdr:sp macro="" textlink="">
      <xdr:nvSpPr>
        <xdr:cNvPr id="418" name="Frame 417">
          <a:extLst>
            <a:ext uri="{FF2B5EF4-FFF2-40B4-BE49-F238E27FC236}">
              <a16:creationId xmlns:a16="http://schemas.microsoft.com/office/drawing/2014/main" id="{0D680EF2-DF68-48DE-B852-A97DBDE1091D}"/>
            </a:ext>
          </a:extLst>
        </xdr:cNvPr>
        <xdr:cNvSpPr/>
      </xdr:nvSpPr>
      <xdr:spPr>
        <a:xfrm>
          <a:off x="0" y="20785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1200</xdr:row>
      <xdr:rowOff>0</xdr:rowOff>
    </xdr:from>
    <xdr:to>
      <xdr:col>0</xdr:col>
      <xdr:colOff>323850</xdr:colOff>
      <xdr:row>1201</xdr:row>
      <xdr:rowOff>120650</xdr:rowOff>
    </xdr:to>
    <xdr:sp macro="" textlink="">
      <xdr:nvSpPr>
        <xdr:cNvPr id="419" name="Frame 418">
          <a:extLst>
            <a:ext uri="{FF2B5EF4-FFF2-40B4-BE49-F238E27FC236}">
              <a16:creationId xmlns:a16="http://schemas.microsoft.com/office/drawing/2014/main" id="{78C86DA8-CCF3-4C15-BC76-40A58EF6DEC8}"/>
            </a:ext>
          </a:extLst>
        </xdr:cNvPr>
        <xdr:cNvSpPr/>
      </xdr:nvSpPr>
      <xdr:spPr>
        <a:xfrm>
          <a:off x="0" y="20822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1202</xdr:row>
      <xdr:rowOff>0</xdr:rowOff>
    </xdr:from>
    <xdr:to>
      <xdr:col>0</xdr:col>
      <xdr:colOff>323850</xdr:colOff>
      <xdr:row>1203</xdr:row>
      <xdr:rowOff>120650</xdr:rowOff>
    </xdr:to>
    <xdr:sp macro="" textlink="">
      <xdr:nvSpPr>
        <xdr:cNvPr id="420" name="Frame 419">
          <a:extLst>
            <a:ext uri="{FF2B5EF4-FFF2-40B4-BE49-F238E27FC236}">
              <a16:creationId xmlns:a16="http://schemas.microsoft.com/office/drawing/2014/main" id="{7C20095C-4DFF-4D33-8D90-DB7756E16080}"/>
            </a:ext>
          </a:extLst>
        </xdr:cNvPr>
        <xdr:cNvSpPr/>
      </xdr:nvSpPr>
      <xdr:spPr>
        <a:xfrm>
          <a:off x="0" y="20859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1204</xdr:row>
      <xdr:rowOff>0</xdr:rowOff>
    </xdr:from>
    <xdr:to>
      <xdr:col>0</xdr:col>
      <xdr:colOff>323850</xdr:colOff>
      <xdr:row>1205</xdr:row>
      <xdr:rowOff>120650</xdr:rowOff>
    </xdr:to>
    <xdr:sp macro="" textlink="">
      <xdr:nvSpPr>
        <xdr:cNvPr id="421" name="Frame 420">
          <a:extLst>
            <a:ext uri="{FF2B5EF4-FFF2-40B4-BE49-F238E27FC236}">
              <a16:creationId xmlns:a16="http://schemas.microsoft.com/office/drawing/2014/main" id="{230884ED-05D3-434D-8ABF-BE1273387461}"/>
            </a:ext>
          </a:extLst>
        </xdr:cNvPr>
        <xdr:cNvSpPr/>
      </xdr:nvSpPr>
      <xdr:spPr>
        <a:xfrm>
          <a:off x="0" y="21410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1206</xdr:row>
      <xdr:rowOff>0</xdr:rowOff>
    </xdr:from>
    <xdr:to>
      <xdr:col>0</xdr:col>
      <xdr:colOff>323850</xdr:colOff>
      <xdr:row>1207</xdr:row>
      <xdr:rowOff>120650</xdr:rowOff>
    </xdr:to>
    <xdr:sp macro="" textlink="">
      <xdr:nvSpPr>
        <xdr:cNvPr id="422" name="Frame 421">
          <a:extLst>
            <a:ext uri="{FF2B5EF4-FFF2-40B4-BE49-F238E27FC236}">
              <a16:creationId xmlns:a16="http://schemas.microsoft.com/office/drawing/2014/main" id="{2C67EB93-D1E6-4B5A-A6D8-BDCB6DB0329B}"/>
            </a:ext>
          </a:extLst>
        </xdr:cNvPr>
        <xdr:cNvSpPr/>
      </xdr:nvSpPr>
      <xdr:spPr>
        <a:xfrm>
          <a:off x="0" y="21447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1208</xdr:row>
      <xdr:rowOff>0</xdr:rowOff>
    </xdr:from>
    <xdr:to>
      <xdr:col>0</xdr:col>
      <xdr:colOff>323850</xdr:colOff>
      <xdr:row>1209</xdr:row>
      <xdr:rowOff>120650</xdr:rowOff>
    </xdr:to>
    <xdr:sp macro="" textlink="">
      <xdr:nvSpPr>
        <xdr:cNvPr id="423" name="Frame 422">
          <a:extLst>
            <a:ext uri="{FF2B5EF4-FFF2-40B4-BE49-F238E27FC236}">
              <a16:creationId xmlns:a16="http://schemas.microsoft.com/office/drawing/2014/main" id="{CEFBBE27-E3D2-436C-9D5F-F7D183492432}"/>
            </a:ext>
          </a:extLst>
        </xdr:cNvPr>
        <xdr:cNvSpPr/>
      </xdr:nvSpPr>
      <xdr:spPr>
        <a:xfrm>
          <a:off x="0" y="21484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1210</xdr:row>
      <xdr:rowOff>0</xdr:rowOff>
    </xdr:from>
    <xdr:to>
      <xdr:col>0</xdr:col>
      <xdr:colOff>323850</xdr:colOff>
      <xdr:row>1211</xdr:row>
      <xdr:rowOff>120650</xdr:rowOff>
    </xdr:to>
    <xdr:sp macro="" textlink="">
      <xdr:nvSpPr>
        <xdr:cNvPr id="424" name="Frame 423">
          <a:extLst>
            <a:ext uri="{FF2B5EF4-FFF2-40B4-BE49-F238E27FC236}">
              <a16:creationId xmlns:a16="http://schemas.microsoft.com/office/drawing/2014/main" id="{095782E8-4811-4AD5-B793-5F22F5FFF912}"/>
            </a:ext>
          </a:extLst>
        </xdr:cNvPr>
        <xdr:cNvSpPr/>
      </xdr:nvSpPr>
      <xdr:spPr>
        <a:xfrm>
          <a:off x="0" y="21521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1212</xdr:row>
      <xdr:rowOff>0</xdr:rowOff>
    </xdr:from>
    <xdr:to>
      <xdr:col>0</xdr:col>
      <xdr:colOff>323850</xdr:colOff>
      <xdr:row>1213</xdr:row>
      <xdr:rowOff>120650</xdr:rowOff>
    </xdr:to>
    <xdr:sp macro="" textlink="">
      <xdr:nvSpPr>
        <xdr:cNvPr id="425" name="Frame 424">
          <a:extLst>
            <a:ext uri="{FF2B5EF4-FFF2-40B4-BE49-F238E27FC236}">
              <a16:creationId xmlns:a16="http://schemas.microsoft.com/office/drawing/2014/main" id="{5DF09236-0D62-4C43-8CDB-4A80EEE4C529}"/>
            </a:ext>
          </a:extLst>
        </xdr:cNvPr>
        <xdr:cNvSpPr/>
      </xdr:nvSpPr>
      <xdr:spPr>
        <a:xfrm>
          <a:off x="0" y="21558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1214</xdr:row>
      <xdr:rowOff>0</xdr:rowOff>
    </xdr:from>
    <xdr:to>
      <xdr:col>0</xdr:col>
      <xdr:colOff>323850</xdr:colOff>
      <xdr:row>1215</xdr:row>
      <xdr:rowOff>120650</xdr:rowOff>
    </xdr:to>
    <xdr:sp macro="" textlink="">
      <xdr:nvSpPr>
        <xdr:cNvPr id="426" name="Frame 425">
          <a:extLst>
            <a:ext uri="{FF2B5EF4-FFF2-40B4-BE49-F238E27FC236}">
              <a16:creationId xmlns:a16="http://schemas.microsoft.com/office/drawing/2014/main" id="{CE98D63F-3583-4C5D-9035-173FF3DCF27F}"/>
            </a:ext>
          </a:extLst>
        </xdr:cNvPr>
        <xdr:cNvSpPr/>
      </xdr:nvSpPr>
      <xdr:spPr>
        <a:xfrm>
          <a:off x="0" y="21595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1216</xdr:row>
      <xdr:rowOff>0</xdr:rowOff>
    </xdr:from>
    <xdr:to>
      <xdr:col>0</xdr:col>
      <xdr:colOff>323850</xdr:colOff>
      <xdr:row>1217</xdr:row>
      <xdr:rowOff>120650</xdr:rowOff>
    </xdr:to>
    <xdr:sp macro="" textlink="">
      <xdr:nvSpPr>
        <xdr:cNvPr id="427" name="Frame 426">
          <a:extLst>
            <a:ext uri="{FF2B5EF4-FFF2-40B4-BE49-F238E27FC236}">
              <a16:creationId xmlns:a16="http://schemas.microsoft.com/office/drawing/2014/main" id="{E96622EA-8E2D-47AF-AB81-905B02C33B6E}"/>
            </a:ext>
          </a:extLst>
        </xdr:cNvPr>
        <xdr:cNvSpPr/>
      </xdr:nvSpPr>
      <xdr:spPr>
        <a:xfrm>
          <a:off x="0" y="21631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1230</xdr:row>
      <xdr:rowOff>177800</xdr:rowOff>
    </xdr:from>
    <xdr:to>
      <xdr:col>0</xdr:col>
      <xdr:colOff>330200</xdr:colOff>
      <xdr:row>1232</xdr:row>
      <xdr:rowOff>114300</xdr:rowOff>
    </xdr:to>
    <xdr:sp macro="" textlink="">
      <xdr:nvSpPr>
        <xdr:cNvPr id="428" name="Frame 427">
          <a:extLst>
            <a:ext uri="{FF2B5EF4-FFF2-40B4-BE49-F238E27FC236}">
              <a16:creationId xmlns:a16="http://schemas.microsoft.com/office/drawing/2014/main" id="{FABBE75D-6F30-494F-8563-2FDF1553AB38}"/>
            </a:ext>
          </a:extLst>
        </xdr:cNvPr>
        <xdr:cNvSpPr/>
      </xdr:nvSpPr>
      <xdr:spPr>
        <a:xfrm>
          <a:off x="6350" y="21152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1233</xdr:row>
      <xdr:rowOff>0</xdr:rowOff>
    </xdr:from>
    <xdr:to>
      <xdr:col>0</xdr:col>
      <xdr:colOff>323850</xdr:colOff>
      <xdr:row>1234</xdr:row>
      <xdr:rowOff>120650</xdr:rowOff>
    </xdr:to>
    <xdr:sp macro="" textlink="">
      <xdr:nvSpPr>
        <xdr:cNvPr id="429" name="Frame 428">
          <a:extLst>
            <a:ext uri="{FF2B5EF4-FFF2-40B4-BE49-F238E27FC236}">
              <a16:creationId xmlns:a16="http://schemas.microsoft.com/office/drawing/2014/main" id="{CA174A68-2FB7-496D-885F-4ED5AFD6908E}"/>
            </a:ext>
          </a:extLst>
        </xdr:cNvPr>
        <xdr:cNvSpPr/>
      </xdr:nvSpPr>
      <xdr:spPr>
        <a:xfrm>
          <a:off x="0" y="21189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1235</xdr:row>
      <xdr:rowOff>0</xdr:rowOff>
    </xdr:from>
    <xdr:to>
      <xdr:col>0</xdr:col>
      <xdr:colOff>323850</xdr:colOff>
      <xdr:row>1236</xdr:row>
      <xdr:rowOff>120650</xdr:rowOff>
    </xdr:to>
    <xdr:sp macro="" textlink="">
      <xdr:nvSpPr>
        <xdr:cNvPr id="430" name="Frame 429">
          <a:extLst>
            <a:ext uri="{FF2B5EF4-FFF2-40B4-BE49-F238E27FC236}">
              <a16:creationId xmlns:a16="http://schemas.microsoft.com/office/drawing/2014/main" id="{60E7B3D0-2145-4010-A953-411057C43E9E}"/>
            </a:ext>
          </a:extLst>
        </xdr:cNvPr>
        <xdr:cNvSpPr/>
      </xdr:nvSpPr>
      <xdr:spPr>
        <a:xfrm>
          <a:off x="0" y="21226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1237</xdr:row>
      <xdr:rowOff>0</xdr:rowOff>
    </xdr:from>
    <xdr:to>
      <xdr:col>0</xdr:col>
      <xdr:colOff>323850</xdr:colOff>
      <xdr:row>1238</xdr:row>
      <xdr:rowOff>120650</xdr:rowOff>
    </xdr:to>
    <xdr:sp macro="" textlink="">
      <xdr:nvSpPr>
        <xdr:cNvPr id="431" name="Frame 430">
          <a:extLst>
            <a:ext uri="{FF2B5EF4-FFF2-40B4-BE49-F238E27FC236}">
              <a16:creationId xmlns:a16="http://schemas.microsoft.com/office/drawing/2014/main" id="{E75C8C8A-0BA5-417E-BE9D-5B793D485F4F}"/>
            </a:ext>
          </a:extLst>
        </xdr:cNvPr>
        <xdr:cNvSpPr/>
      </xdr:nvSpPr>
      <xdr:spPr>
        <a:xfrm>
          <a:off x="0" y="21263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1239</xdr:row>
      <xdr:rowOff>0</xdr:rowOff>
    </xdr:from>
    <xdr:to>
      <xdr:col>0</xdr:col>
      <xdr:colOff>323850</xdr:colOff>
      <xdr:row>1240</xdr:row>
      <xdr:rowOff>120650</xdr:rowOff>
    </xdr:to>
    <xdr:sp macro="" textlink="">
      <xdr:nvSpPr>
        <xdr:cNvPr id="432" name="Frame 431">
          <a:extLst>
            <a:ext uri="{FF2B5EF4-FFF2-40B4-BE49-F238E27FC236}">
              <a16:creationId xmlns:a16="http://schemas.microsoft.com/office/drawing/2014/main" id="{BF7AF0BD-8808-4589-A7CC-552326CDEBEB}"/>
            </a:ext>
          </a:extLst>
        </xdr:cNvPr>
        <xdr:cNvSpPr/>
      </xdr:nvSpPr>
      <xdr:spPr>
        <a:xfrm>
          <a:off x="0" y="21300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1241</xdr:row>
      <xdr:rowOff>0</xdr:rowOff>
    </xdr:from>
    <xdr:to>
      <xdr:col>0</xdr:col>
      <xdr:colOff>323850</xdr:colOff>
      <xdr:row>1242</xdr:row>
      <xdr:rowOff>120650</xdr:rowOff>
    </xdr:to>
    <xdr:sp macro="" textlink="">
      <xdr:nvSpPr>
        <xdr:cNvPr id="433" name="Frame 432">
          <a:extLst>
            <a:ext uri="{FF2B5EF4-FFF2-40B4-BE49-F238E27FC236}">
              <a16:creationId xmlns:a16="http://schemas.microsoft.com/office/drawing/2014/main" id="{87CA0F60-B1CA-48E2-A938-8895276C8483}"/>
            </a:ext>
          </a:extLst>
        </xdr:cNvPr>
        <xdr:cNvSpPr/>
      </xdr:nvSpPr>
      <xdr:spPr>
        <a:xfrm>
          <a:off x="0" y="21337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1243</xdr:row>
      <xdr:rowOff>0</xdr:rowOff>
    </xdr:from>
    <xdr:to>
      <xdr:col>0</xdr:col>
      <xdr:colOff>323850</xdr:colOff>
      <xdr:row>1244</xdr:row>
      <xdr:rowOff>120650</xdr:rowOff>
    </xdr:to>
    <xdr:sp macro="" textlink="">
      <xdr:nvSpPr>
        <xdr:cNvPr id="434" name="Frame 433">
          <a:extLst>
            <a:ext uri="{FF2B5EF4-FFF2-40B4-BE49-F238E27FC236}">
              <a16:creationId xmlns:a16="http://schemas.microsoft.com/office/drawing/2014/main" id="{0CC5672C-8030-47D7-A2A9-CDABA83A663C}"/>
            </a:ext>
          </a:extLst>
        </xdr:cNvPr>
        <xdr:cNvSpPr/>
      </xdr:nvSpPr>
      <xdr:spPr>
        <a:xfrm>
          <a:off x="0" y="21374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1245</xdr:row>
      <xdr:rowOff>0</xdr:rowOff>
    </xdr:from>
    <xdr:to>
      <xdr:col>0</xdr:col>
      <xdr:colOff>323850</xdr:colOff>
      <xdr:row>1246</xdr:row>
      <xdr:rowOff>120650</xdr:rowOff>
    </xdr:to>
    <xdr:sp macro="" textlink="">
      <xdr:nvSpPr>
        <xdr:cNvPr id="435" name="Frame 434">
          <a:extLst>
            <a:ext uri="{FF2B5EF4-FFF2-40B4-BE49-F238E27FC236}">
              <a16:creationId xmlns:a16="http://schemas.microsoft.com/office/drawing/2014/main" id="{7A451B18-18DE-4EF2-845A-340DA7571F43}"/>
            </a:ext>
          </a:extLst>
        </xdr:cNvPr>
        <xdr:cNvSpPr/>
      </xdr:nvSpPr>
      <xdr:spPr>
        <a:xfrm>
          <a:off x="0" y="21410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1247</xdr:row>
      <xdr:rowOff>0</xdr:rowOff>
    </xdr:from>
    <xdr:to>
      <xdr:col>0</xdr:col>
      <xdr:colOff>323850</xdr:colOff>
      <xdr:row>1248</xdr:row>
      <xdr:rowOff>120650</xdr:rowOff>
    </xdr:to>
    <xdr:sp macro="" textlink="">
      <xdr:nvSpPr>
        <xdr:cNvPr id="436" name="Frame 435">
          <a:extLst>
            <a:ext uri="{FF2B5EF4-FFF2-40B4-BE49-F238E27FC236}">
              <a16:creationId xmlns:a16="http://schemas.microsoft.com/office/drawing/2014/main" id="{B1A27CA8-B774-4E3C-8A58-F25D3721DE75}"/>
            </a:ext>
          </a:extLst>
        </xdr:cNvPr>
        <xdr:cNvSpPr/>
      </xdr:nvSpPr>
      <xdr:spPr>
        <a:xfrm>
          <a:off x="0" y="21447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1249</xdr:row>
      <xdr:rowOff>0</xdr:rowOff>
    </xdr:from>
    <xdr:to>
      <xdr:col>0</xdr:col>
      <xdr:colOff>323850</xdr:colOff>
      <xdr:row>1250</xdr:row>
      <xdr:rowOff>120650</xdr:rowOff>
    </xdr:to>
    <xdr:sp macro="" textlink="">
      <xdr:nvSpPr>
        <xdr:cNvPr id="437" name="Frame 436">
          <a:extLst>
            <a:ext uri="{FF2B5EF4-FFF2-40B4-BE49-F238E27FC236}">
              <a16:creationId xmlns:a16="http://schemas.microsoft.com/office/drawing/2014/main" id="{E0DC70BE-A919-4382-A537-236FECFBB0B8}"/>
            </a:ext>
          </a:extLst>
        </xdr:cNvPr>
        <xdr:cNvSpPr/>
      </xdr:nvSpPr>
      <xdr:spPr>
        <a:xfrm>
          <a:off x="0" y="21484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1263</xdr:row>
      <xdr:rowOff>177800</xdr:rowOff>
    </xdr:from>
    <xdr:to>
      <xdr:col>0</xdr:col>
      <xdr:colOff>330200</xdr:colOff>
      <xdr:row>1265</xdr:row>
      <xdr:rowOff>114300</xdr:rowOff>
    </xdr:to>
    <xdr:sp macro="" textlink="">
      <xdr:nvSpPr>
        <xdr:cNvPr id="442" name="Frame 441">
          <a:extLst>
            <a:ext uri="{FF2B5EF4-FFF2-40B4-BE49-F238E27FC236}">
              <a16:creationId xmlns:a16="http://schemas.microsoft.com/office/drawing/2014/main" id="{8B2F13FC-935E-4663-A047-55114CCD8397}"/>
            </a:ext>
          </a:extLst>
        </xdr:cNvPr>
        <xdr:cNvSpPr/>
      </xdr:nvSpPr>
      <xdr:spPr>
        <a:xfrm>
          <a:off x="6350" y="6709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1266</xdr:row>
      <xdr:rowOff>0</xdr:rowOff>
    </xdr:from>
    <xdr:to>
      <xdr:col>0</xdr:col>
      <xdr:colOff>323850</xdr:colOff>
      <xdr:row>1267</xdr:row>
      <xdr:rowOff>120650</xdr:rowOff>
    </xdr:to>
    <xdr:sp macro="" textlink="">
      <xdr:nvSpPr>
        <xdr:cNvPr id="443" name="Frame 442">
          <a:extLst>
            <a:ext uri="{FF2B5EF4-FFF2-40B4-BE49-F238E27FC236}">
              <a16:creationId xmlns:a16="http://schemas.microsoft.com/office/drawing/2014/main" id="{142F3C0F-96C7-43F0-9AFE-AABD624EF052}"/>
            </a:ext>
          </a:extLst>
        </xdr:cNvPr>
        <xdr:cNvSpPr/>
      </xdr:nvSpPr>
      <xdr:spPr>
        <a:xfrm>
          <a:off x="0" y="6746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1284</xdr:row>
      <xdr:rowOff>177800</xdr:rowOff>
    </xdr:from>
    <xdr:to>
      <xdr:col>0</xdr:col>
      <xdr:colOff>330200</xdr:colOff>
      <xdr:row>1286</xdr:row>
      <xdr:rowOff>114300</xdr:rowOff>
    </xdr:to>
    <xdr:sp macro="" textlink="">
      <xdr:nvSpPr>
        <xdr:cNvPr id="444" name="Frame 443">
          <a:extLst>
            <a:ext uri="{FF2B5EF4-FFF2-40B4-BE49-F238E27FC236}">
              <a16:creationId xmlns:a16="http://schemas.microsoft.com/office/drawing/2014/main" id="{B306269D-E9F1-4FDD-9047-81017CCAC4F2}"/>
            </a:ext>
          </a:extLst>
        </xdr:cNvPr>
        <xdr:cNvSpPr/>
      </xdr:nvSpPr>
      <xdr:spPr>
        <a:xfrm>
          <a:off x="6350" y="21152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1287</xdr:row>
      <xdr:rowOff>0</xdr:rowOff>
    </xdr:from>
    <xdr:to>
      <xdr:col>0</xdr:col>
      <xdr:colOff>323850</xdr:colOff>
      <xdr:row>1288</xdr:row>
      <xdr:rowOff>120650</xdr:rowOff>
    </xdr:to>
    <xdr:sp macro="" textlink="">
      <xdr:nvSpPr>
        <xdr:cNvPr id="445" name="Frame 444">
          <a:extLst>
            <a:ext uri="{FF2B5EF4-FFF2-40B4-BE49-F238E27FC236}">
              <a16:creationId xmlns:a16="http://schemas.microsoft.com/office/drawing/2014/main" id="{301BD403-9990-44FB-8E52-43BB4736D019}"/>
            </a:ext>
          </a:extLst>
        </xdr:cNvPr>
        <xdr:cNvSpPr/>
      </xdr:nvSpPr>
      <xdr:spPr>
        <a:xfrm>
          <a:off x="0" y="21189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1289</xdr:row>
      <xdr:rowOff>0</xdr:rowOff>
    </xdr:from>
    <xdr:to>
      <xdr:col>0</xdr:col>
      <xdr:colOff>323850</xdr:colOff>
      <xdr:row>1290</xdr:row>
      <xdr:rowOff>120650</xdr:rowOff>
    </xdr:to>
    <xdr:sp macro="" textlink="">
      <xdr:nvSpPr>
        <xdr:cNvPr id="446" name="Frame 445">
          <a:extLst>
            <a:ext uri="{FF2B5EF4-FFF2-40B4-BE49-F238E27FC236}">
              <a16:creationId xmlns:a16="http://schemas.microsoft.com/office/drawing/2014/main" id="{F59C2E44-5CC0-46E8-AB71-3688908472EA}"/>
            </a:ext>
          </a:extLst>
        </xdr:cNvPr>
        <xdr:cNvSpPr/>
      </xdr:nvSpPr>
      <xdr:spPr>
        <a:xfrm>
          <a:off x="0" y="21226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1291</xdr:row>
      <xdr:rowOff>0</xdr:rowOff>
    </xdr:from>
    <xdr:to>
      <xdr:col>0</xdr:col>
      <xdr:colOff>323850</xdr:colOff>
      <xdr:row>1292</xdr:row>
      <xdr:rowOff>120650</xdr:rowOff>
    </xdr:to>
    <xdr:sp macro="" textlink="">
      <xdr:nvSpPr>
        <xdr:cNvPr id="447" name="Frame 446">
          <a:extLst>
            <a:ext uri="{FF2B5EF4-FFF2-40B4-BE49-F238E27FC236}">
              <a16:creationId xmlns:a16="http://schemas.microsoft.com/office/drawing/2014/main" id="{1E5A1345-1D60-439B-BE62-2BC8348AADCF}"/>
            </a:ext>
          </a:extLst>
        </xdr:cNvPr>
        <xdr:cNvSpPr/>
      </xdr:nvSpPr>
      <xdr:spPr>
        <a:xfrm>
          <a:off x="0" y="21263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1293</xdr:row>
      <xdr:rowOff>0</xdr:rowOff>
    </xdr:from>
    <xdr:to>
      <xdr:col>0</xdr:col>
      <xdr:colOff>323850</xdr:colOff>
      <xdr:row>1294</xdr:row>
      <xdr:rowOff>120650</xdr:rowOff>
    </xdr:to>
    <xdr:sp macro="" textlink="">
      <xdr:nvSpPr>
        <xdr:cNvPr id="448" name="Frame 447">
          <a:extLst>
            <a:ext uri="{FF2B5EF4-FFF2-40B4-BE49-F238E27FC236}">
              <a16:creationId xmlns:a16="http://schemas.microsoft.com/office/drawing/2014/main" id="{4D8867C0-C911-408F-8760-B3623273FFCD}"/>
            </a:ext>
          </a:extLst>
        </xdr:cNvPr>
        <xdr:cNvSpPr/>
      </xdr:nvSpPr>
      <xdr:spPr>
        <a:xfrm>
          <a:off x="0" y="21300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1295</xdr:row>
      <xdr:rowOff>0</xdr:rowOff>
    </xdr:from>
    <xdr:to>
      <xdr:col>0</xdr:col>
      <xdr:colOff>323850</xdr:colOff>
      <xdr:row>1296</xdr:row>
      <xdr:rowOff>120650</xdr:rowOff>
    </xdr:to>
    <xdr:sp macro="" textlink="">
      <xdr:nvSpPr>
        <xdr:cNvPr id="449" name="Frame 448">
          <a:extLst>
            <a:ext uri="{FF2B5EF4-FFF2-40B4-BE49-F238E27FC236}">
              <a16:creationId xmlns:a16="http://schemas.microsoft.com/office/drawing/2014/main" id="{09EF2A05-3641-45F9-B33E-D59597D18452}"/>
            </a:ext>
          </a:extLst>
        </xdr:cNvPr>
        <xdr:cNvSpPr/>
      </xdr:nvSpPr>
      <xdr:spPr>
        <a:xfrm>
          <a:off x="0" y="21337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1297</xdr:row>
      <xdr:rowOff>0</xdr:rowOff>
    </xdr:from>
    <xdr:to>
      <xdr:col>0</xdr:col>
      <xdr:colOff>323850</xdr:colOff>
      <xdr:row>1298</xdr:row>
      <xdr:rowOff>120650</xdr:rowOff>
    </xdr:to>
    <xdr:sp macro="" textlink="">
      <xdr:nvSpPr>
        <xdr:cNvPr id="450" name="Frame 449">
          <a:extLst>
            <a:ext uri="{FF2B5EF4-FFF2-40B4-BE49-F238E27FC236}">
              <a16:creationId xmlns:a16="http://schemas.microsoft.com/office/drawing/2014/main" id="{A274D7F9-09B4-4D42-8CE6-66F38E33BAA1}"/>
            </a:ext>
          </a:extLst>
        </xdr:cNvPr>
        <xdr:cNvSpPr/>
      </xdr:nvSpPr>
      <xdr:spPr>
        <a:xfrm>
          <a:off x="0" y="21374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1299</xdr:row>
      <xdr:rowOff>0</xdr:rowOff>
    </xdr:from>
    <xdr:to>
      <xdr:col>0</xdr:col>
      <xdr:colOff>323850</xdr:colOff>
      <xdr:row>1300</xdr:row>
      <xdr:rowOff>120650</xdr:rowOff>
    </xdr:to>
    <xdr:sp macro="" textlink="">
      <xdr:nvSpPr>
        <xdr:cNvPr id="451" name="Frame 450">
          <a:extLst>
            <a:ext uri="{FF2B5EF4-FFF2-40B4-BE49-F238E27FC236}">
              <a16:creationId xmlns:a16="http://schemas.microsoft.com/office/drawing/2014/main" id="{1EA5BE1F-9658-4D91-A3AB-9BEC2756FA77}"/>
            </a:ext>
          </a:extLst>
        </xdr:cNvPr>
        <xdr:cNvSpPr/>
      </xdr:nvSpPr>
      <xdr:spPr>
        <a:xfrm>
          <a:off x="0" y="21410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1301</xdr:row>
      <xdr:rowOff>0</xdr:rowOff>
    </xdr:from>
    <xdr:to>
      <xdr:col>0</xdr:col>
      <xdr:colOff>323850</xdr:colOff>
      <xdr:row>1302</xdr:row>
      <xdr:rowOff>120650</xdr:rowOff>
    </xdr:to>
    <xdr:sp macro="" textlink="">
      <xdr:nvSpPr>
        <xdr:cNvPr id="452" name="Frame 451">
          <a:extLst>
            <a:ext uri="{FF2B5EF4-FFF2-40B4-BE49-F238E27FC236}">
              <a16:creationId xmlns:a16="http://schemas.microsoft.com/office/drawing/2014/main" id="{D8EC2AD7-B19D-4FBC-B1A3-9753568A5958}"/>
            </a:ext>
          </a:extLst>
        </xdr:cNvPr>
        <xdr:cNvSpPr/>
      </xdr:nvSpPr>
      <xdr:spPr>
        <a:xfrm>
          <a:off x="0" y="21447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1303</xdr:row>
      <xdr:rowOff>0</xdr:rowOff>
    </xdr:from>
    <xdr:to>
      <xdr:col>0</xdr:col>
      <xdr:colOff>323850</xdr:colOff>
      <xdr:row>1304</xdr:row>
      <xdr:rowOff>120650</xdr:rowOff>
    </xdr:to>
    <xdr:sp macro="" textlink="">
      <xdr:nvSpPr>
        <xdr:cNvPr id="453" name="Frame 452">
          <a:extLst>
            <a:ext uri="{FF2B5EF4-FFF2-40B4-BE49-F238E27FC236}">
              <a16:creationId xmlns:a16="http://schemas.microsoft.com/office/drawing/2014/main" id="{60266A90-0FA0-40A6-A1E5-A74F9F83AB38}"/>
            </a:ext>
          </a:extLst>
        </xdr:cNvPr>
        <xdr:cNvSpPr/>
      </xdr:nvSpPr>
      <xdr:spPr>
        <a:xfrm>
          <a:off x="0" y="21484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1305</xdr:row>
      <xdr:rowOff>0</xdr:rowOff>
    </xdr:from>
    <xdr:to>
      <xdr:col>0</xdr:col>
      <xdr:colOff>323850</xdr:colOff>
      <xdr:row>1306</xdr:row>
      <xdr:rowOff>120650</xdr:rowOff>
    </xdr:to>
    <xdr:sp macro="" textlink="">
      <xdr:nvSpPr>
        <xdr:cNvPr id="454" name="Frame 453">
          <a:extLst>
            <a:ext uri="{FF2B5EF4-FFF2-40B4-BE49-F238E27FC236}">
              <a16:creationId xmlns:a16="http://schemas.microsoft.com/office/drawing/2014/main" id="{245C738F-F6F8-4565-941D-8624C272244F}"/>
            </a:ext>
          </a:extLst>
        </xdr:cNvPr>
        <xdr:cNvSpPr/>
      </xdr:nvSpPr>
      <xdr:spPr>
        <a:xfrm>
          <a:off x="0" y="21521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1307</xdr:row>
      <xdr:rowOff>0</xdr:rowOff>
    </xdr:from>
    <xdr:to>
      <xdr:col>0</xdr:col>
      <xdr:colOff>323850</xdr:colOff>
      <xdr:row>1308</xdr:row>
      <xdr:rowOff>120650</xdr:rowOff>
    </xdr:to>
    <xdr:sp macro="" textlink="">
      <xdr:nvSpPr>
        <xdr:cNvPr id="455" name="Frame 454">
          <a:extLst>
            <a:ext uri="{FF2B5EF4-FFF2-40B4-BE49-F238E27FC236}">
              <a16:creationId xmlns:a16="http://schemas.microsoft.com/office/drawing/2014/main" id="{7A5B1A97-BF25-4FA4-8559-980EE5C70774}"/>
            </a:ext>
          </a:extLst>
        </xdr:cNvPr>
        <xdr:cNvSpPr/>
      </xdr:nvSpPr>
      <xdr:spPr>
        <a:xfrm>
          <a:off x="0" y="21558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1309</xdr:row>
      <xdr:rowOff>0</xdr:rowOff>
    </xdr:from>
    <xdr:to>
      <xdr:col>0</xdr:col>
      <xdr:colOff>323850</xdr:colOff>
      <xdr:row>1310</xdr:row>
      <xdr:rowOff>120650</xdr:rowOff>
    </xdr:to>
    <xdr:sp macro="" textlink="">
      <xdr:nvSpPr>
        <xdr:cNvPr id="456" name="Frame 455">
          <a:extLst>
            <a:ext uri="{FF2B5EF4-FFF2-40B4-BE49-F238E27FC236}">
              <a16:creationId xmlns:a16="http://schemas.microsoft.com/office/drawing/2014/main" id="{CA705E4E-5D9C-4251-8D4E-D2A0662513A2}"/>
            </a:ext>
          </a:extLst>
        </xdr:cNvPr>
        <xdr:cNvSpPr/>
      </xdr:nvSpPr>
      <xdr:spPr>
        <a:xfrm>
          <a:off x="0" y="21595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1311</xdr:row>
      <xdr:rowOff>0</xdr:rowOff>
    </xdr:from>
    <xdr:to>
      <xdr:col>0</xdr:col>
      <xdr:colOff>323850</xdr:colOff>
      <xdr:row>1312</xdr:row>
      <xdr:rowOff>120650</xdr:rowOff>
    </xdr:to>
    <xdr:sp macro="" textlink="">
      <xdr:nvSpPr>
        <xdr:cNvPr id="458" name="Frame 457">
          <a:extLst>
            <a:ext uri="{FF2B5EF4-FFF2-40B4-BE49-F238E27FC236}">
              <a16:creationId xmlns:a16="http://schemas.microsoft.com/office/drawing/2014/main" id="{FD129EE6-F7B5-409E-A580-5FB947E2391A}"/>
            </a:ext>
          </a:extLst>
        </xdr:cNvPr>
        <xdr:cNvSpPr/>
      </xdr:nvSpPr>
      <xdr:spPr>
        <a:xfrm>
          <a:off x="0" y="23434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1313</xdr:row>
      <xdr:rowOff>0</xdr:rowOff>
    </xdr:from>
    <xdr:to>
      <xdr:col>0</xdr:col>
      <xdr:colOff>323850</xdr:colOff>
      <xdr:row>1314</xdr:row>
      <xdr:rowOff>120650</xdr:rowOff>
    </xdr:to>
    <xdr:sp macro="" textlink="">
      <xdr:nvSpPr>
        <xdr:cNvPr id="459" name="Frame 458">
          <a:extLst>
            <a:ext uri="{FF2B5EF4-FFF2-40B4-BE49-F238E27FC236}">
              <a16:creationId xmlns:a16="http://schemas.microsoft.com/office/drawing/2014/main" id="{41A2CE31-E996-4D0F-B115-AA41DD707625}"/>
            </a:ext>
          </a:extLst>
        </xdr:cNvPr>
        <xdr:cNvSpPr/>
      </xdr:nvSpPr>
      <xdr:spPr>
        <a:xfrm>
          <a:off x="0" y="23471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1315</xdr:row>
      <xdr:rowOff>0</xdr:rowOff>
    </xdr:from>
    <xdr:to>
      <xdr:col>0</xdr:col>
      <xdr:colOff>323850</xdr:colOff>
      <xdr:row>1316</xdr:row>
      <xdr:rowOff>120650</xdr:rowOff>
    </xdr:to>
    <xdr:sp macro="" textlink="">
      <xdr:nvSpPr>
        <xdr:cNvPr id="460" name="Frame 459">
          <a:extLst>
            <a:ext uri="{FF2B5EF4-FFF2-40B4-BE49-F238E27FC236}">
              <a16:creationId xmlns:a16="http://schemas.microsoft.com/office/drawing/2014/main" id="{2F45F8CE-27B4-44E3-8B17-5E55476BA8CF}"/>
            </a:ext>
          </a:extLst>
        </xdr:cNvPr>
        <xdr:cNvSpPr/>
      </xdr:nvSpPr>
      <xdr:spPr>
        <a:xfrm>
          <a:off x="0" y="23508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1333</xdr:row>
      <xdr:rowOff>177800</xdr:rowOff>
    </xdr:from>
    <xdr:to>
      <xdr:col>0</xdr:col>
      <xdr:colOff>330200</xdr:colOff>
      <xdr:row>1335</xdr:row>
      <xdr:rowOff>114300</xdr:rowOff>
    </xdr:to>
    <xdr:sp macro="" textlink="">
      <xdr:nvSpPr>
        <xdr:cNvPr id="462" name="Frame 461">
          <a:extLst>
            <a:ext uri="{FF2B5EF4-FFF2-40B4-BE49-F238E27FC236}">
              <a16:creationId xmlns:a16="http://schemas.microsoft.com/office/drawing/2014/main" id="{360616E5-10B9-4071-A7CD-188D939F3E20}"/>
            </a:ext>
          </a:extLst>
        </xdr:cNvPr>
        <xdr:cNvSpPr/>
      </xdr:nvSpPr>
      <xdr:spPr>
        <a:xfrm>
          <a:off x="6350" y="22955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1336</xdr:row>
      <xdr:rowOff>0</xdr:rowOff>
    </xdr:from>
    <xdr:to>
      <xdr:col>0</xdr:col>
      <xdr:colOff>323850</xdr:colOff>
      <xdr:row>1337</xdr:row>
      <xdr:rowOff>120650</xdr:rowOff>
    </xdr:to>
    <xdr:sp macro="" textlink="">
      <xdr:nvSpPr>
        <xdr:cNvPr id="463" name="Frame 462">
          <a:extLst>
            <a:ext uri="{FF2B5EF4-FFF2-40B4-BE49-F238E27FC236}">
              <a16:creationId xmlns:a16="http://schemas.microsoft.com/office/drawing/2014/main" id="{07C423C5-8BD1-4C1B-9DE1-F6A4BBDA7320}"/>
            </a:ext>
          </a:extLst>
        </xdr:cNvPr>
        <xdr:cNvSpPr/>
      </xdr:nvSpPr>
      <xdr:spPr>
        <a:xfrm>
          <a:off x="0" y="22992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1338</xdr:row>
      <xdr:rowOff>0</xdr:rowOff>
    </xdr:from>
    <xdr:to>
      <xdr:col>0</xdr:col>
      <xdr:colOff>323850</xdr:colOff>
      <xdr:row>1339</xdr:row>
      <xdr:rowOff>120650</xdr:rowOff>
    </xdr:to>
    <xdr:sp macro="" textlink="">
      <xdr:nvSpPr>
        <xdr:cNvPr id="464" name="Frame 463">
          <a:extLst>
            <a:ext uri="{FF2B5EF4-FFF2-40B4-BE49-F238E27FC236}">
              <a16:creationId xmlns:a16="http://schemas.microsoft.com/office/drawing/2014/main" id="{8CED9A3B-F390-4EA5-B8EC-8A5A01A12498}"/>
            </a:ext>
          </a:extLst>
        </xdr:cNvPr>
        <xdr:cNvSpPr/>
      </xdr:nvSpPr>
      <xdr:spPr>
        <a:xfrm>
          <a:off x="0" y="23029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1340</xdr:row>
      <xdr:rowOff>0</xdr:rowOff>
    </xdr:from>
    <xdr:to>
      <xdr:col>0</xdr:col>
      <xdr:colOff>323850</xdr:colOff>
      <xdr:row>1341</xdr:row>
      <xdr:rowOff>120650</xdr:rowOff>
    </xdr:to>
    <xdr:sp macro="" textlink="">
      <xdr:nvSpPr>
        <xdr:cNvPr id="465" name="Frame 464">
          <a:extLst>
            <a:ext uri="{FF2B5EF4-FFF2-40B4-BE49-F238E27FC236}">
              <a16:creationId xmlns:a16="http://schemas.microsoft.com/office/drawing/2014/main" id="{94BD550A-7C1C-4B85-BE98-F18B3B858B88}"/>
            </a:ext>
          </a:extLst>
        </xdr:cNvPr>
        <xdr:cNvSpPr/>
      </xdr:nvSpPr>
      <xdr:spPr>
        <a:xfrm>
          <a:off x="0" y="23066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1342</xdr:row>
      <xdr:rowOff>0</xdr:rowOff>
    </xdr:from>
    <xdr:to>
      <xdr:col>0</xdr:col>
      <xdr:colOff>323850</xdr:colOff>
      <xdr:row>1343</xdr:row>
      <xdr:rowOff>120650</xdr:rowOff>
    </xdr:to>
    <xdr:sp macro="" textlink="">
      <xdr:nvSpPr>
        <xdr:cNvPr id="466" name="Frame 465">
          <a:extLst>
            <a:ext uri="{FF2B5EF4-FFF2-40B4-BE49-F238E27FC236}">
              <a16:creationId xmlns:a16="http://schemas.microsoft.com/office/drawing/2014/main" id="{4046228F-9AC4-449D-A2B7-2CCCBD58169C}"/>
            </a:ext>
          </a:extLst>
        </xdr:cNvPr>
        <xdr:cNvSpPr/>
      </xdr:nvSpPr>
      <xdr:spPr>
        <a:xfrm>
          <a:off x="0" y="23103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1344</xdr:row>
      <xdr:rowOff>0</xdr:rowOff>
    </xdr:from>
    <xdr:to>
      <xdr:col>0</xdr:col>
      <xdr:colOff>323850</xdr:colOff>
      <xdr:row>1345</xdr:row>
      <xdr:rowOff>120650</xdr:rowOff>
    </xdr:to>
    <xdr:sp macro="" textlink="">
      <xdr:nvSpPr>
        <xdr:cNvPr id="467" name="Frame 466">
          <a:extLst>
            <a:ext uri="{FF2B5EF4-FFF2-40B4-BE49-F238E27FC236}">
              <a16:creationId xmlns:a16="http://schemas.microsoft.com/office/drawing/2014/main" id="{9B3C9C1A-A84F-48EC-96B3-0ECC0E7CA65F}"/>
            </a:ext>
          </a:extLst>
        </xdr:cNvPr>
        <xdr:cNvSpPr/>
      </xdr:nvSpPr>
      <xdr:spPr>
        <a:xfrm>
          <a:off x="0" y="23140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1346</xdr:row>
      <xdr:rowOff>0</xdr:rowOff>
    </xdr:from>
    <xdr:to>
      <xdr:col>0</xdr:col>
      <xdr:colOff>323850</xdr:colOff>
      <xdr:row>1347</xdr:row>
      <xdr:rowOff>120650</xdr:rowOff>
    </xdr:to>
    <xdr:sp macro="" textlink="">
      <xdr:nvSpPr>
        <xdr:cNvPr id="468" name="Frame 467">
          <a:extLst>
            <a:ext uri="{FF2B5EF4-FFF2-40B4-BE49-F238E27FC236}">
              <a16:creationId xmlns:a16="http://schemas.microsoft.com/office/drawing/2014/main" id="{643E492E-C29B-4F9E-8A6A-CE1060480D2C}"/>
            </a:ext>
          </a:extLst>
        </xdr:cNvPr>
        <xdr:cNvSpPr/>
      </xdr:nvSpPr>
      <xdr:spPr>
        <a:xfrm>
          <a:off x="0" y="231768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1348</xdr:row>
      <xdr:rowOff>0</xdr:rowOff>
    </xdr:from>
    <xdr:to>
      <xdr:col>0</xdr:col>
      <xdr:colOff>323850</xdr:colOff>
      <xdr:row>1349</xdr:row>
      <xdr:rowOff>120650</xdr:rowOff>
    </xdr:to>
    <xdr:sp macro="" textlink="">
      <xdr:nvSpPr>
        <xdr:cNvPr id="469" name="Frame 468">
          <a:extLst>
            <a:ext uri="{FF2B5EF4-FFF2-40B4-BE49-F238E27FC236}">
              <a16:creationId xmlns:a16="http://schemas.microsoft.com/office/drawing/2014/main" id="{D6130CD1-0C92-41AB-8F0F-97162F2E5676}"/>
            </a:ext>
          </a:extLst>
        </xdr:cNvPr>
        <xdr:cNvSpPr/>
      </xdr:nvSpPr>
      <xdr:spPr>
        <a:xfrm>
          <a:off x="0" y="232136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1350</xdr:row>
      <xdr:rowOff>0</xdr:rowOff>
    </xdr:from>
    <xdr:to>
      <xdr:col>0</xdr:col>
      <xdr:colOff>323850</xdr:colOff>
      <xdr:row>1351</xdr:row>
      <xdr:rowOff>120650</xdr:rowOff>
    </xdr:to>
    <xdr:sp macro="" textlink="">
      <xdr:nvSpPr>
        <xdr:cNvPr id="470" name="Frame 469">
          <a:extLst>
            <a:ext uri="{FF2B5EF4-FFF2-40B4-BE49-F238E27FC236}">
              <a16:creationId xmlns:a16="http://schemas.microsoft.com/office/drawing/2014/main" id="{93A4B02C-0078-4ABD-9B46-89E49E746CAD}"/>
            </a:ext>
          </a:extLst>
        </xdr:cNvPr>
        <xdr:cNvSpPr/>
      </xdr:nvSpPr>
      <xdr:spPr>
        <a:xfrm>
          <a:off x="0" y="232505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1352</xdr:row>
      <xdr:rowOff>0</xdr:rowOff>
    </xdr:from>
    <xdr:to>
      <xdr:col>0</xdr:col>
      <xdr:colOff>323850</xdr:colOff>
      <xdr:row>1353</xdr:row>
      <xdr:rowOff>120650</xdr:rowOff>
    </xdr:to>
    <xdr:sp macro="" textlink="">
      <xdr:nvSpPr>
        <xdr:cNvPr id="471" name="Frame 470">
          <a:extLst>
            <a:ext uri="{FF2B5EF4-FFF2-40B4-BE49-F238E27FC236}">
              <a16:creationId xmlns:a16="http://schemas.microsoft.com/office/drawing/2014/main" id="{572C33C3-FED1-4742-97FE-513A8FC74697}"/>
            </a:ext>
          </a:extLst>
        </xdr:cNvPr>
        <xdr:cNvSpPr/>
      </xdr:nvSpPr>
      <xdr:spPr>
        <a:xfrm>
          <a:off x="0" y="232873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1354</xdr:row>
      <xdr:rowOff>0</xdr:rowOff>
    </xdr:from>
    <xdr:to>
      <xdr:col>0</xdr:col>
      <xdr:colOff>323850</xdr:colOff>
      <xdr:row>1355</xdr:row>
      <xdr:rowOff>120650</xdr:rowOff>
    </xdr:to>
    <xdr:sp macro="" textlink="">
      <xdr:nvSpPr>
        <xdr:cNvPr id="472" name="Frame 471">
          <a:extLst>
            <a:ext uri="{FF2B5EF4-FFF2-40B4-BE49-F238E27FC236}">
              <a16:creationId xmlns:a16="http://schemas.microsoft.com/office/drawing/2014/main" id="{254F8F6D-7669-45E3-9E6C-AAAC90BAA97C}"/>
            </a:ext>
          </a:extLst>
        </xdr:cNvPr>
        <xdr:cNvSpPr/>
      </xdr:nvSpPr>
      <xdr:spPr>
        <a:xfrm>
          <a:off x="0" y="233241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1356</xdr:row>
      <xdr:rowOff>0</xdr:rowOff>
    </xdr:from>
    <xdr:to>
      <xdr:col>0</xdr:col>
      <xdr:colOff>323850</xdr:colOff>
      <xdr:row>1357</xdr:row>
      <xdr:rowOff>120650</xdr:rowOff>
    </xdr:to>
    <xdr:sp macro="" textlink="">
      <xdr:nvSpPr>
        <xdr:cNvPr id="473" name="Frame 472">
          <a:extLst>
            <a:ext uri="{FF2B5EF4-FFF2-40B4-BE49-F238E27FC236}">
              <a16:creationId xmlns:a16="http://schemas.microsoft.com/office/drawing/2014/main" id="{B65CE98B-376A-4AD7-9E49-21D2DF8320E0}"/>
            </a:ext>
          </a:extLst>
        </xdr:cNvPr>
        <xdr:cNvSpPr/>
      </xdr:nvSpPr>
      <xdr:spPr>
        <a:xfrm>
          <a:off x="0" y="233610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1358</xdr:row>
      <xdr:rowOff>0</xdr:rowOff>
    </xdr:from>
    <xdr:to>
      <xdr:col>0</xdr:col>
      <xdr:colOff>323850</xdr:colOff>
      <xdr:row>1359</xdr:row>
      <xdr:rowOff>120650</xdr:rowOff>
    </xdr:to>
    <xdr:sp macro="" textlink="">
      <xdr:nvSpPr>
        <xdr:cNvPr id="474" name="Frame 473">
          <a:extLst>
            <a:ext uri="{FF2B5EF4-FFF2-40B4-BE49-F238E27FC236}">
              <a16:creationId xmlns:a16="http://schemas.microsoft.com/office/drawing/2014/main" id="{6495F5F5-637C-4F87-8557-A1A579083113}"/>
            </a:ext>
          </a:extLst>
        </xdr:cNvPr>
        <xdr:cNvSpPr/>
      </xdr:nvSpPr>
      <xdr:spPr>
        <a:xfrm>
          <a:off x="0" y="233978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1373</xdr:row>
      <xdr:rowOff>177800</xdr:rowOff>
    </xdr:from>
    <xdr:to>
      <xdr:col>0</xdr:col>
      <xdr:colOff>330200</xdr:colOff>
      <xdr:row>1375</xdr:row>
      <xdr:rowOff>114300</xdr:rowOff>
    </xdr:to>
    <xdr:sp macro="" textlink="">
      <xdr:nvSpPr>
        <xdr:cNvPr id="479" name="Frame 478">
          <a:extLst>
            <a:ext uri="{FF2B5EF4-FFF2-40B4-BE49-F238E27FC236}">
              <a16:creationId xmlns:a16="http://schemas.microsoft.com/office/drawing/2014/main" id="{ED56113C-6FE3-4F55-9103-6B3E381B79E7}"/>
            </a:ext>
          </a:extLst>
        </xdr:cNvPr>
        <xdr:cNvSpPr/>
      </xdr:nvSpPr>
      <xdr:spPr>
        <a:xfrm>
          <a:off x="6350" y="18392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1376</xdr:row>
      <xdr:rowOff>0</xdr:rowOff>
    </xdr:from>
    <xdr:to>
      <xdr:col>0</xdr:col>
      <xdr:colOff>323850</xdr:colOff>
      <xdr:row>1377</xdr:row>
      <xdr:rowOff>120650</xdr:rowOff>
    </xdr:to>
    <xdr:sp macro="" textlink="">
      <xdr:nvSpPr>
        <xdr:cNvPr id="480" name="Frame 479">
          <a:extLst>
            <a:ext uri="{FF2B5EF4-FFF2-40B4-BE49-F238E27FC236}">
              <a16:creationId xmlns:a16="http://schemas.microsoft.com/office/drawing/2014/main" id="{B9D0EB57-DD10-47F7-BEF7-D3029004BBA3}"/>
            </a:ext>
          </a:extLst>
        </xdr:cNvPr>
        <xdr:cNvSpPr/>
      </xdr:nvSpPr>
      <xdr:spPr>
        <a:xfrm>
          <a:off x="0" y="18430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1378</xdr:row>
      <xdr:rowOff>0</xdr:rowOff>
    </xdr:from>
    <xdr:to>
      <xdr:col>0</xdr:col>
      <xdr:colOff>323850</xdr:colOff>
      <xdr:row>1379</xdr:row>
      <xdr:rowOff>120650</xdr:rowOff>
    </xdr:to>
    <xdr:sp macro="" textlink="">
      <xdr:nvSpPr>
        <xdr:cNvPr id="481" name="Frame 480">
          <a:extLst>
            <a:ext uri="{FF2B5EF4-FFF2-40B4-BE49-F238E27FC236}">
              <a16:creationId xmlns:a16="http://schemas.microsoft.com/office/drawing/2014/main" id="{F4D0D856-10D9-474F-9988-D765DA0D6428}"/>
            </a:ext>
          </a:extLst>
        </xdr:cNvPr>
        <xdr:cNvSpPr/>
      </xdr:nvSpPr>
      <xdr:spPr>
        <a:xfrm>
          <a:off x="0" y="18467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1380</xdr:row>
      <xdr:rowOff>0</xdr:rowOff>
    </xdr:from>
    <xdr:to>
      <xdr:col>0</xdr:col>
      <xdr:colOff>323850</xdr:colOff>
      <xdr:row>1381</xdr:row>
      <xdr:rowOff>120650</xdr:rowOff>
    </xdr:to>
    <xdr:sp macro="" textlink="">
      <xdr:nvSpPr>
        <xdr:cNvPr id="482" name="Frame 481">
          <a:extLst>
            <a:ext uri="{FF2B5EF4-FFF2-40B4-BE49-F238E27FC236}">
              <a16:creationId xmlns:a16="http://schemas.microsoft.com/office/drawing/2014/main" id="{4BEE1887-2A94-4603-9230-B61FA07F79F9}"/>
            </a:ext>
          </a:extLst>
        </xdr:cNvPr>
        <xdr:cNvSpPr/>
      </xdr:nvSpPr>
      <xdr:spPr>
        <a:xfrm>
          <a:off x="0" y="18503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1382</xdr:row>
      <xdr:rowOff>0</xdr:rowOff>
    </xdr:from>
    <xdr:to>
      <xdr:col>0</xdr:col>
      <xdr:colOff>323850</xdr:colOff>
      <xdr:row>1383</xdr:row>
      <xdr:rowOff>120650</xdr:rowOff>
    </xdr:to>
    <xdr:sp macro="" textlink="">
      <xdr:nvSpPr>
        <xdr:cNvPr id="483" name="Frame 482">
          <a:extLst>
            <a:ext uri="{FF2B5EF4-FFF2-40B4-BE49-F238E27FC236}">
              <a16:creationId xmlns:a16="http://schemas.microsoft.com/office/drawing/2014/main" id="{CCD9697D-F39B-4284-8048-12DF37D4AA9C}"/>
            </a:ext>
          </a:extLst>
        </xdr:cNvPr>
        <xdr:cNvSpPr/>
      </xdr:nvSpPr>
      <xdr:spPr>
        <a:xfrm>
          <a:off x="0" y="18540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1384</xdr:row>
      <xdr:rowOff>0</xdr:rowOff>
    </xdr:from>
    <xdr:to>
      <xdr:col>0</xdr:col>
      <xdr:colOff>323850</xdr:colOff>
      <xdr:row>1385</xdr:row>
      <xdr:rowOff>120650</xdr:rowOff>
    </xdr:to>
    <xdr:sp macro="" textlink="">
      <xdr:nvSpPr>
        <xdr:cNvPr id="484" name="Frame 483">
          <a:extLst>
            <a:ext uri="{FF2B5EF4-FFF2-40B4-BE49-F238E27FC236}">
              <a16:creationId xmlns:a16="http://schemas.microsoft.com/office/drawing/2014/main" id="{ED63F01D-FFE5-4270-B679-92B27777F003}"/>
            </a:ext>
          </a:extLst>
        </xdr:cNvPr>
        <xdr:cNvSpPr/>
      </xdr:nvSpPr>
      <xdr:spPr>
        <a:xfrm>
          <a:off x="0" y="18577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1386</xdr:row>
      <xdr:rowOff>0</xdr:rowOff>
    </xdr:from>
    <xdr:to>
      <xdr:col>0</xdr:col>
      <xdr:colOff>323850</xdr:colOff>
      <xdr:row>1387</xdr:row>
      <xdr:rowOff>120650</xdr:rowOff>
    </xdr:to>
    <xdr:sp macro="" textlink="">
      <xdr:nvSpPr>
        <xdr:cNvPr id="485" name="Frame 484">
          <a:extLst>
            <a:ext uri="{FF2B5EF4-FFF2-40B4-BE49-F238E27FC236}">
              <a16:creationId xmlns:a16="http://schemas.microsoft.com/office/drawing/2014/main" id="{86518F57-4E8C-46CE-8881-7BDC1CDECA09}"/>
            </a:ext>
          </a:extLst>
        </xdr:cNvPr>
        <xdr:cNvSpPr/>
      </xdr:nvSpPr>
      <xdr:spPr>
        <a:xfrm>
          <a:off x="0" y="18614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1388</xdr:row>
      <xdr:rowOff>0</xdr:rowOff>
    </xdr:from>
    <xdr:to>
      <xdr:col>0</xdr:col>
      <xdr:colOff>323850</xdr:colOff>
      <xdr:row>1389</xdr:row>
      <xdr:rowOff>120650</xdr:rowOff>
    </xdr:to>
    <xdr:sp macro="" textlink="">
      <xdr:nvSpPr>
        <xdr:cNvPr id="486" name="Frame 485">
          <a:extLst>
            <a:ext uri="{FF2B5EF4-FFF2-40B4-BE49-F238E27FC236}">
              <a16:creationId xmlns:a16="http://schemas.microsoft.com/office/drawing/2014/main" id="{C90FE6FE-9446-4029-B15D-849A8DCCF5AB}"/>
            </a:ext>
          </a:extLst>
        </xdr:cNvPr>
        <xdr:cNvSpPr/>
      </xdr:nvSpPr>
      <xdr:spPr>
        <a:xfrm>
          <a:off x="0" y="18651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1390</xdr:row>
      <xdr:rowOff>0</xdr:rowOff>
    </xdr:from>
    <xdr:to>
      <xdr:col>0</xdr:col>
      <xdr:colOff>323850</xdr:colOff>
      <xdr:row>1391</xdr:row>
      <xdr:rowOff>120650</xdr:rowOff>
    </xdr:to>
    <xdr:sp macro="" textlink="">
      <xdr:nvSpPr>
        <xdr:cNvPr id="488" name="Frame 487">
          <a:extLst>
            <a:ext uri="{FF2B5EF4-FFF2-40B4-BE49-F238E27FC236}">
              <a16:creationId xmlns:a16="http://schemas.microsoft.com/office/drawing/2014/main" id="{1DA223FB-0AC8-4811-B391-B285F792EB5D}"/>
            </a:ext>
          </a:extLst>
        </xdr:cNvPr>
        <xdr:cNvSpPr/>
      </xdr:nvSpPr>
      <xdr:spPr>
        <a:xfrm>
          <a:off x="0" y="18688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1392</xdr:row>
      <xdr:rowOff>0</xdr:rowOff>
    </xdr:from>
    <xdr:to>
      <xdr:col>0</xdr:col>
      <xdr:colOff>323850</xdr:colOff>
      <xdr:row>1393</xdr:row>
      <xdr:rowOff>120650</xdr:rowOff>
    </xdr:to>
    <xdr:sp macro="" textlink="">
      <xdr:nvSpPr>
        <xdr:cNvPr id="489" name="Frame 488">
          <a:extLst>
            <a:ext uri="{FF2B5EF4-FFF2-40B4-BE49-F238E27FC236}">
              <a16:creationId xmlns:a16="http://schemas.microsoft.com/office/drawing/2014/main" id="{20A9C578-1284-4427-8A7D-014FA713145C}"/>
            </a:ext>
          </a:extLst>
        </xdr:cNvPr>
        <xdr:cNvSpPr/>
      </xdr:nvSpPr>
      <xdr:spPr>
        <a:xfrm>
          <a:off x="0" y="18724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1394</xdr:row>
      <xdr:rowOff>0</xdr:rowOff>
    </xdr:from>
    <xdr:to>
      <xdr:col>0</xdr:col>
      <xdr:colOff>323850</xdr:colOff>
      <xdr:row>1395</xdr:row>
      <xdr:rowOff>120650</xdr:rowOff>
    </xdr:to>
    <xdr:sp macro="" textlink="">
      <xdr:nvSpPr>
        <xdr:cNvPr id="490" name="Frame 489">
          <a:extLst>
            <a:ext uri="{FF2B5EF4-FFF2-40B4-BE49-F238E27FC236}">
              <a16:creationId xmlns:a16="http://schemas.microsoft.com/office/drawing/2014/main" id="{746556B9-5E49-4492-813F-0F1F2BB6F2CC}"/>
            </a:ext>
          </a:extLst>
        </xdr:cNvPr>
        <xdr:cNvSpPr/>
      </xdr:nvSpPr>
      <xdr:spPr>
        <a:xfrm>
          <a:off x="0" y="18761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1396</xdr:row>
      <xdr:rowOff>0</xdr:rowOff>
    </xdr:from>
    <xdr:to>
      <xdr:col>0</xdr:col>
      <xdr:colOff>323850</xdr:colOff>
      <xdr:row>1397</xdr:row>
      <xdr:rowOff>120650</xdr:rowOff>
    </xdr:to>
    <xdr:sp macro="" textlink="">
      <xdr:nvSpPr>
        <xdr:cNvPr id="491" name="Frame 490">
          <a:extLst>
            <a:ext uri="{FF2B5EF4-FFF2-40B4-BE49-F238E27FC236}">
              <a16:creationId xmlns:a16="http://schemas.microsoft.com/office/drawing/2014/main" id="{7EA09D61-B8D1-49CF-8E60-631AD7910ADF}"/>
            </a:ext>
          </a:extLst>
        </xdr:cNvPr>
        <xdr:cNvSpPr/>
      </xdr:nvSpPr>
      <xdr:spPr>
        <a:xfrm>
          <a:off x="0" y="18798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1411</xdr:row>
      <xdr:rowOff>177800</xdr:rowOff>
    </xdr:from>
    <xdr:to>
      <xdr:col>0</xdr:col>
      <xdr:colOff>330200</xdr:colOff>
      <xdr:row>1413</xdr:row>
      <xdr:rowOff>114300</xdr:rowOff>
    </xdr:to>
    <xdr:sp macro="" textlink="">
      <xdr:nvSpPr>
        <xdr:cNvPr id="496" name="Frame 495">
          <a:extLst>
            <a:ext uri="{FF2B5EF4-FFF2-40B4-BE49-F238E27FC236}">
              <a16:creationId xmlns:a16="http://schemas.microsoft.com/office/drawing/2014/main" id="{FA6E9241-3D52-44E6-BC1F-CBB6A995364F}"/>
            </a:ext>
          </a:extLst>
        </xdr:cNvPr>
        <xdr:cNvSpPr/>
      </xdr:nvSpPr>
      <xdr:spPr>
        <a:xfrm>
          <a:off x="6350" y="24574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1414</xdr:row>
      <xdr:rowOff>0</xdr:rowOff>
    </xdr:from>
    <xdr:to>
      <xdr:col>0</xdr:col>
      <xdr:colOff>323850</xdr:colOff>
      <xdr:row>1415</xdr:row>
      <xdr:rowOff>120650</xdr:rowOff>
    </xdr:to>
    <xdr:sp macro="" textlink="">
      <xdr:nvSpPr>
        <xdr:cNvPr id="497" name="Frame 496">
          <a:extLst>
            <a:ext uri="{FF2B5EF4-FFF2-40B4-BE49-F238E27FC236}">
              <a16:creationId xmlns:a16="http://schemas.microsoft.com/office/drawing/2014/main" id="{8434CCF3-6997-4039-8043-00E2B7BCC3FC}"/>
            </a:ext>
          </a:extLst>
        </xdr:cNvPr>
        <xdr:cNvSpPr/>
      </xdr:nvSpPr>
      <xdr:spPr>
        <a:xfrm>
          <a:off x="0" y="246119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1416</xdr:row>
      <xdr:rowOff>0</xdr:rowOff>
    </xdr:from>
    <xdr:to>
      <xdr:col>0</xdr:col>
      <xdr:colOff>323850</xdr:colOff>
      <xdr:row>1417</xdr:row>
      <xdr:rowOff>120650</xdr:rowOff>
    </xdr:to>
    <xdr:sp macro="" textlink="">
      <xdr:nvSpPr>
        <xdr:cNvPr id="498" name="Frame 497">
          <a:extLst>
            <a:ext uri="{FF2B5EF4-FFF2-40B4-BE49-F238E27FC236}">
              <a16:creationId xmlns:a16="http://schemas.microsoft.com/office/drawing/2014/main" id="{601AE5D1-72AC-423F-AAAB-83A99101E238}"/>
            </a:ext>
          </a:extLst>
        </xdr:cNvPr>
        <xdr:cNvSpPr/>
      </xdr:nvSpPr>
      <xdr:spPr>
        <a:xfrm>
          <a:off x="0" y="246487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1418</xdr:row>
      <xdr:rowOff>0</xdr:rowOff>
    </xdr:from>
    <xdr:to>
      <xdr:col>0</xdr:col>
      <xdr:colOff>323850</xdr:colOff>
      <xdr:row>1419</xdr:row>
      <xdr:rowOff>120650</xdr:rowOff>
    </xdr:to>
    <xdr:sp macro="" textlink="">
      <xdr:nvSpPr>
        <xdr:cNvPr id="499" name="Frame 498">
          <a:extLst>
            <a:ext uri="{FF2B5EF4-FFF2-40B4-BE49-F238E27FC236}">
              <a16:creationId xmlns:a16="http://schemas.microsoft.com/office/drawing/2014/main" id="{65879BA5-E008-439D-A39D-767ED933ACD7}"/>
            </a:ext>
          </a:extLst>
        </xdr:cNvPr>
        <xdr:cNvSpPr/>
      </xdr:nvSpPr>
      <xdr:spPr>
        <a:xfrm>
          <a:off x="0" y="246856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1420</xdr:row>
      <xdr:rowOff>0</xdr:rowOff>
    </xdr:from>
    <xdr:to>
      <xdr:col>0</xdr:col>
      <xdr:colOff>323850</xdr:colOff>
      <xdr:row>1421</xdr:row>
      <xdr:rowOff>120650</xdr:rowOff>
    </xdr:to>
    <xdr:sp macro="" textlink="">
      <xdr:nvSpPr>
        <xdr:cNvPr id="500" name="Frame 499">
          <a:extLst>
            <a:ext uri="{FF2B5EF4-FFF2-40B4-BE49-F238E27FC236}">
              <a16:creationId xmlns:a16="http://schemas.microsoft.com/office/drawing/2014/main" id="{4201985A-9734-4DD5-B8F3-454EDE053C4B}"/>
            </a:ext>
          </a:extLst>
        </xdr:cNvPr>
        <xdr:cNvSpPr/>
      </xdr:nvSpPr>
      <xdr:spPr>
        <a:xfrm>
          <a:off x="0" y="24722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1422</xdr:row>
      <xdr:rowOff>0</xdr:rowOff>
    </xdr:from>
    <xdr:to>
      <xdr:col>0</xdr:col>
      <xdr:colOff>323850</xdr:colOff>
      <xdr:row>1423</xdr:row>
      <xdr:rowOff>120650</xdr:rowOff>
    </xdr:to>
    <xdr:sp macro="" textlink="">
      <xdr:nvSpPr>
        <xdr:cNvPr id="501" name="Frame 500">
          <a:extLst>
            <a:ext uri="{FF2B5EF4-FFF2-40B4-BE49-F238E27FC236}">
              <a16:creationId xmlns:a16="http://schemas.microsoft.com/office/drawing/2014/main" id="{57DB53F9-7FDE-4C20-82A6-0AA7E2EC35EA}"/>
            </a:ext>
          </a:extLst>
        </xdr:cNvPr>
        <xdr:cNvSpPr/>
      </xdr:nvSpPr>
      <xdr:spPr>
        <a:xfrm>
          <a:off x="0" y="24759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1424</xdr:row>
      <xdr:rowOff>0</xdr:rowOff>
    </xdr:from>
    <xdr:to>
      <xdr:col>0</xdr:col>
      <xdr:colOff>323850</xdr:colOff>
      <xdr:row>1425</xdr:row>
      <xdr:rowOff>120650</xdr:rowOff>
    </xdr:to>
    <xdr:sp macro="" textlink="">
      <xdr:nvSpPr>
        <xdr:cNvPr id="502" name="Frame 501">
          <a:extLst>
            <a:ext uri="{FF2B5EF4-FFF2-40B4-BE49-F238E27FC236}">
              <a16:creationId xmlns:a16="http://schemas.microsoft.com/office/drawing/2014/main" id="{0DB03061-27B5-465E-8BE5-46696DD193F9}"/>
            </a:ext>
          </a:extLst>
        </xdr:cNvPr>
        <xdr:cNvSpPr/>
      </xdr:nvSpPr>
      <xdr:spPr>
        <a:xfrm>
          <a:off x="0" y="24796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1426</xdr:row>
      <xdr:rowOff>0</xdr:rowOff>
    </xdr:from>
    <xdr:to>
      <xdr:col>0</xdr:col>
      <xdr:colOff>323850</xdr:colOff>
      <xdr:row>1427</xdr:row>
      <xdr:rowOff>120650</xdr:rowOff>
    </xdr:to>
    <xdr:sp macro="" textlink="">
      <xdr:nvSpPr>
        <xdr:cNvPr id="503" name="Frame 502">
          <a:extLst>
            <a:ext uri="{FF2B5EF4-FFF2-40B4-BE49-F238E27FC236}">
              <a16:creationId xmlns:a16="http://schemas.microsoft.com/office/drawing/2014/main" id="{7646F9FC-2022-4137-8BA1-0B7880FED498}"/>
            </a:ext>
          </a:extLst>
        </xdr:cNvPr>
        <xdr:cNvSpPr/>
      </xdr:nvSpPr>
      <xdr:spPr>
        <a:xfrm>
          <a:off x="0" y="24832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1428</xdr:row>
      <xdr:rowOff>0</xdr:rowOff>
    </xdr:from>
    <xdr:to>
      <xdr:col>0</xdr:col>
      <xdr:colOff>323850</xdr:colOff>
      <xdr:row>1429</xdr:row>
      <xdr:rowOff>120650</xdr:rowOff>
    </xdr:to>
    <xdr:sp macro="" textlink="">
      <xdr:nvSpPr>
        <xdr:cNvPr id="504" name="Frame 503">
          <a:extLst>
            <a:ext uri="{FF2B5EF4-FFF2-40B4-BE49-F238E27FC236}">
              <a16:creationId xmlns:a16="http://schemas.microsoft.com/office/drawing/2014/main" id="{57A71383-A629-4F90-A06B-385CAF5AAAD7}"/>
            </a:ext>
          </a:extLst>
        </xdr:cNvPr>
        <xdr:cNvSpPr/>
      </xdr:nvSpPr>
      <xdr:spPr>
        <a:xfrm>
          <a:off x="0" y="24869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1430</xdr:row>
      <xdr:rowOff>0</xdr:rowOff>
    </xdr:from>
    <xdr:to>
      <xdr:col>0</xdr:col>
      <xdr:colOff>323850</xdr:colOff>
      <xdr:row>1431</xdr:row>
      <xdr:rowOff>120650</xdr:rowOff>
    </xdr:to>
    <xdr:sp macro="" textlink="">
      <xdr:nvSpPr>
        <xdr:cNvPr id="505" name="Frame 504">
          <a:extLst>
            <a:ext uri="{FF2B5EF4-FFF2-40B4-BE49-F238E27FC236}">
              <a16:creationId xmlns:a16="http://schemas.microsoft.com/office/drawing/2014/main" id="{69445ED6-8EAF-448C-B9A1-368E68DA09E9}"/>
            </a:ext>
          </a:extLst>
        </xdr:cNvPr>
        <xdr:cNvSpPr/>
      </xdr:nvSpPr>
      <xdr:spPr>
        <a:xfrm>
          <a:off x="0" y="24906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1432</xdr:row>
      <xdr:rowOff>0</xdr:rowOff>
    </xdr:from>
    <xdr:to>
      <xdr:col>0</xdr:col>
      <xdr:colOff>323850</xdr:colOff>
      <xdr:row>1433</xdr:row>
      <xdr:rowOff>120650</xdr:rowOff>
    </xdr:to>
    <xdr:sp macro="" textlink="">
      <xdr:nvSpPr>
        <xdr:cNvPr id="506" name="Frame 505">
          <a:extLst>
            <a:ext uri="{FF2B5EF4-FFF2-40B4-BE49-F238E27FC236}">
              <a16:creationId xmlns:a16="http://schemas.microsoft.com/office/drawing/2014/main" id="{BB69180D-D8BA-4415-9836-630FD2D6560F}"/>
            </a:ext>
          </a:extLst>
        </xdr:cNvPr>
        <xdr:cNvSpPr/>
      </xdr:nvSpPr>
      <xdr:spPr>
        <a:xfrm>
          <a:off x="0" y="249434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1434</xdr:row>
      <xdr:rowOff>0</xdr:rowOff>
    </xdr:from>
    <xdr:to>
      <xdr:col>0</xdr:col>
      <xdr:colOff>323850</xdr:colOff>
      <xdr:row>1435</xdr:row>
      <xdr:rowOff>120650</xdr:rowOff>
    </xdr:to>
    <xdr:sp macro="" textlink="">
      <xdr:nvSpPr>
        <xdr:cNvPr id="508" name="Frame 507">
          <a:extLst>
            <a:ext uri="{FF2B5EF4-FFF2-40B4-BE49-F238E27FC236}">
              <a16:creationId xmlns:a16="http://schemas.microsoft.com/office/drawing/2014/main" id="{7EBC4FC4-76FA-45B2-BD7A-CFEF35CDECC2}"/>
            </a:ext>
          </a:extLst>
        </xdr:cNvPr>
        <xdr:cNvSpPr/>
      </xdr:nvSpPr>
      <xdr:spPr>
        <a:xfrm>
          <a:off x="0" y="25679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1436</xdr:row>
      <xdr:rowOff>0</xdr:rowOff>
    </xdr:from>
    <xdr:to>
      <xdr:col>0</xdr:col>
      <xdr:colOff>323850</xdr:colOff>
      <xdr:row>1437</xdr:row>
      <xdr:rowOff>120650</xdr:rowOff>
    </xdr:to>
    <xdr:sp macro="" textlink="">
      <xdr:nvSpPr>
        <xdr:cNvPr id="509" name="Frame 508">
          <a:extLst>
            <a:ext uri="{FF2B5EF4-FFF2-40B4-BE49-F238E27FC236}">
              <a16:creationId xmlns:a16="http://schemas.microsoft.com/office/drawing/2014/main" id="{07950A22-B583-40D8-93A0-8B22B3988EDD}"/>
            </a:ext>
          </a:extLst>
        </xdr:cNvPr>
        <xdr:cNvSpPr/>
      </xdr:nvSpPr>
      <xdr:spPr>
        <a:xfrm>
          <a:off x="0" y="25716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1438</xdr:row>
      <xdr:rowOff>0</xdr:rowOff>
    </xdr:from>
    <xdr:to>
      <xdr:col>0</xdr:col>
      <xdr:colOff>323850</xdr:colOff>
      <xdr:row>1439</xdr:row>
      <xdr:rowOff>120650</xdr:rowOff>
    </xdr:to>
    <xdr:sp macro="" textlink="">
      <xdr:nvSpPr>
        <xdr:cNvPr id="510" name="Frame 509">
          <a:extLst>
            <a:ext uri="{FF2B5EF4-FFF2-40B4-BE49-F238E27FC236}">
              <a16:creationId xmlns:a16="http://schemas.microsoft.com/office/drawing/2014/main" id="{49AE5926-BCF1-4B03-ACC2-CCB4674C0C32}"/>
            </a:ext>
          </a:extLst>
        </xdr:cNvPr>
        <xdr:cNvSpPr/>
      </xdr:nvSpPr>
      <xdr:spPr>
        <a:xfrm>
          <a:off x="0" y="25753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1440</xdr:row>
      <xdr:rowOff>0</xdr:rowOff>
    </xdr:from>
    <xdr:to>
      <xdr:col>0</xdr:col>
      <xdr:colOff>323850</xdr:colOff>
      <xdr:row>1441</xdr:row>
      <xdr:rowOff>120650</xdr:rowOff>
    </xdr:to>
    <xdr:sp macro="" textlink="">
      <xdr:nvSpPr>
        <xdr:cNvPr id="511" name="Frame 510">
          <a:extLst>
            <a:ext uri="{FF2B5EF4-FFF2-40B4-BE49-F238E27FC236}">
              <a16:creationId xmlns:a16="http://schemas.microsoft.com/office/drawing/2014/main" id="{809D2737-0DA5-41EF-B4ED-1082942B7EB1}"/>
            </a:ext>
          </a:extLst>
        </xdr:cNvPr>
        <xdr:cNvSpPr/>
      </xdr:nvSpPr>
      <xdr:spPr>
        <a:xfrm>
          <a:off x="0" y="25789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1454</xdr:row>
      <xdr:rowOff>177800</xdr:rowOff>
    </xdr:from>
    <xdr:to>
      <xdr:col>0</xdr:col>
      <xdr:colOff>330200</xdr:colOff>
      <xdr:row>1456</xdr:row>
      <xdr:rowOff>114300</xdr:rowOff>
    </xdr:to>
    <xdr:sp macro="" textlink="">
      <xdr:nvSpPr>
        <xdr:cNvPr id="514" name="Frame 513">
          <a:extLst>
            <a:ext uri="{FF2B5EF4-FFF2-40B4-BE49-F238E27FC236}">
              <a16:creationId xmlns:a16="http://schemas.microsoft.com/office/drawing/2014/main" id="{3E7E841C-6E3D-48B5-A642-F69E8D969784}"/>
            </a:ext>
          </a:extLst>
        </xdr:cNvPr>
        <xdr:cNvSpPr/>
      </xdr:nvSpPr>
      <xdr:spPr>
        <a:xfrm>
          <a:off x="6350" y="25273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1457</xdr:row>
      <xdr:rowOff>0</xdr:rowOff>
    </xdr:from>
    <xdr:to>
      <xdr:col>0</xdr:col>
      <xdr:colOff>323850</xdr:colOff>
      <xdr:row>1458</xdr:row>
      <xdr:rowOff>120650</xdr:rowOff>
    </xdr:to>
    <xdr:sp macro="" textlink="">
      <xdr:nvSpPr>
        <xdr:cNvPr id="515" name="Frame 514">
          <a:extLst>
            <a:ext uri="{FF2B5EF4-FFF2-40B4-BE49-F238E27FC236}">
              <a16:creationId xmlns:a16="http://schemas.microsoft.com/office/drawing/2014/main" id="{39BCF870-1CDC-44A9-B342-8F3C15CBB80E}"/>
            </a:ext>
          </a:extLst>
        </xdr:cNvPr>
        <xdr:cNvSpPr/>
      </xdr:nvSpPr>
      <xdr:spPr>
        <a:xfrm>
          <a:off x="0" y="25311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1459</xdr:row>
      <xdr:rowOff>0</xdr:rowOff>
    </xdr:from>
    <xdr:to>
      <xdr:col>0</xdr:col>
      <xdr:colOff>323850</xdr:colOff>
      <xdr:row>1460</xdr:row>
      <xdr:rowOff>120650</xdr:rowOff>
    </xdr:to>
    <xdr:sp macro="" textlink="">
      <xdr:nvSpPr>
        <xdr:cNvPr id="516" name="Frame 515">
          <a:extLst>
            <a:ext uri="{FF2B5EF4-FFF2-40B4-BE49-F238E27FC236}">
              <a16:creationId xmlns:a16="http://schemas.microsoft.com/office/drawing/2014/main" id="{54185156-9731-4C48-BA5F-7D7BB893437A}"/>
            </a:ext>
          </a:extLst>
        </xdr:cNvPr>
        <xdr:cNvSpPr/>
      </xdr:nvSpPr>
      <xdr:spPr>
        <a:xfrm>
          <a:off x="0" y="25347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1461</xdr:row>
      <xdr:rowOff>0</xdr:rowOff>
    </xdr:from>
    <xdr:to>
      <xdr:col>0</xdr:col>
      <xdr:colOff>323850</xdr:colOff>
      <xdr:row>1462</xdr:row>
      <xdr:rowOff>120650</xdr:rowOff>
    </xdr:to>
    <xdr:sp macro="" textlink="">
      <xdr:nvSpPr>
        <xdr:cNvPr id="517" name="Frame 516">
          <a:extLst>
            <a:ext uri="{FF2B5EF4-FFF2-40B4-BE49-F238E27FC236}">
              <a16:creationId xmlns:a16="http://schemas.microsoft.com/office/drawing/2014/main" id="{4574F318-8651-4C80-B809-8284A1EDE32A}"/>
            </a:ext>
          </a:extLst>
        </xdr:cNvPr>
        <xdr:cNvSpPr/>
      </xdr:nvSpPr>
      <xdr:spPr>
        <a:xfrm>
          <a:off x="0" y="25384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1463</xdr:row>
      <xdr:rowOff>0</xdr:rowOff>
    </xdr:from>
    <xdr:to>
      <xdr:col>0</xdr:col>
      <xdr:colOff>323850</xdr:colOff>
      <xdr:row>1464</xdr:row>
      <xdr:rowOff>120650</xdr:rowOff>
    </xdr:to>
    <xdr:sp macro="" textlink="">
      <xdr:nvSpPr>
        <xdr:cNvPr id="518" name="Frame 517">
          <a:extLst>
            <a:ext uri="{FF2B5EF4-FFF2-40B4-BE49-F238E27FC236}">
              <a16:creationId xmlns:a16="http://schemas.microsoft.com/office/drawing/2014/main" id="{3C73618C-DBA0-4908-A7BC-971D69274A33}"/>
            </a:ext>
          </a:extLst>
        </xdr:cNvPr>
        <xdr:cNvSpPr/>
      </xdr:nvSpPr>
      <xdr:spPr>
        <a:xfrm>
          <a:off x="0" y="25421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1465</xdr:row>
      <xdr:rowOff>0</xdr:rowOff>
    </xdr:from>
    <xdr:to>
      <xdr:col>0</xdr:col>
      <xdr:colOff>323850</xdr:colOff>
      <xdr:row>1466</xdr:row>
      <xdr:rowOff>120650</xdr:rowOff>
    </xdr:to>
    <xdr:sp macro="" textlink="">
      <xdr:nvSpPr>
        <xdr:cNvPr id="519" name="Frame 518">
          <a:extLst>
            <a:ext uri="{FF2B5EF4-FFF2-40B4-BE49-F238E27FC236}">
              <a16:creationId xmlns:a16="http://schemas.microsoft.com/office/drawing/2014/main" id="{C2AD8EFE-3456-426D-9770-654616AD81C7}"/>
            </a:ext>
          </a:extLst>
        </xdr:cNvPr>
        <xdr:cNvSpPr/>
      </xdr:nvSpPr>
      <xdr:spPr>
        <a:xfrm>
          <a:off x="0" y="25458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1467</xdr:row>
      <xdr:rowOff>0</xdr:rowOff>
    </xdr:from>
    <xdr:to>
      <xdr:col>0</xdr:col>
      <xdr:colOff>323850</xdr:colOff>
      <xdr:row>1468</xdr:row>
      <xdr:rowOff>120650</xdr:rowOff>
    </xdr:to>
    <xdr:sp macro="" textlink="">
      <xdr:nvSpPr>
        <xdr:cNvPr id="520" name="Frame 519">
          <a:extLst>
            <a:ext uri="{FF2B5EF4-FFF2-40B4-BE49-F238E27FC236}">
              <a16:creationId xmlns:a16="http://schemas.microsoft.com/office/drawing/2014/main" id="{4C767ED0-7DA1-486B-A19E-ED7625719E5C}"/>
            </a:ext>
          </a:extLst>
        </xdr:cNvPr>
        <xdr:cNvSpPr/>
      </xdr:nvSpPr>
      <xdr:spPr>
        <a:xfrm>
          <a:off x="0" y="25495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1469</xdr:row>
      <xdr:rowOff>0</xdr:rowOff>
    </xdr:from>
    <xdr:to>
      <xdr:col>0</xdr:col>
      <xdr:colOff>323850</xdr:colOff>
      <xdr:row>1470</xdr:row>
      <xdr:rowOff>120650</xdr:rowOff>
    </xdr:to>
    <xdr:sp macro="" textlink="">
      <xdr:nvSpPr>
        <xdr:cNvPr id="521" name="Frame 520">
          <a:extLst>
            <a:ext uri="{FF2B5EF4-FFF2-40B4-BE49-F238E27FC236}">
              <a16:creationId xmlns:a16="http://schemas.microsoft.com/office/drawing/2014/main" id="{5BA47CEB-C35A-4390-9575-CA8BE81B3EC2}"/>
            </a:ext>
          </a:extLst>
        </xdr:cNvPr>
        <xdr:cNvSpPr/>
      </xdr:nvSpPr>
      <xdr:spPr>
        <a:xfrm>
          <a:off x="0" y="25532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1471</xdr:row>
      <xdr:rowOff>0</xdr:rowOff>
    </xdr:from>
    <xdr:to>
      <xdr:col>0</xdr:col>
      <xdr:colOff>323850</xdr:colOff>
      <xdr:row>1472</xdr:row>
      <xdr:rowOff>120650</xdr:rowOff>
    </xdr:to>
    <xdr:sp macro="" textlink="">
      <xdr:nvSpPr>
        <xdr:cNvPr id="522" name="Frame 521">
          <a:extLst>
            <a:ext uri="{FF2B5EF4-FFF2-40B4-BE49-F238E27FC236}">
              <a16:creationId xmlns:a16="http://schemas.microsoft.com/office/drawing/2014/main" id="{09EEFF91-EF3D-48E8-B3E4-EBE131E691F8}"/>
            </a:ext>
          </a:extLst>
        </xdr:cNvPr>
        <xdr:cNvSpPr/>
      </xdr:nvSpPr>
      <xdr:spPr>
        <a:xfrm>
          <a:off x="0" y="25568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1473</xdr:row>
      <xdr:rowOff>0</xdr:rowOff>
    </xdr:from>
    <xdr:to>
      <xdr:col>0</xdr:col>
      <xdr:colOff>323850</xdr:colOff>
      <xdr:row>1474</xdr:row>
      <xdr:rowOff>120650</xdr:rowOff>
    </xdr:to>
    <xdr:sp macro="" textlink="">
      <xdr:nvSpPr>
        <xdr:cNvPr id="523" name="Frame 522">
          <a:extLst>
            <a:ext uri="{FF2B5EF4-FFF2-40B4-BE49-F238E27FC236}">
              <a16:creationId xmlns:a16="http://schemas.microsoft.com/office/drawing/2014/main" id="{7DFB5530-D323-47C0-9304-C22F842B72C0}"/>
            </a:ext>
          </a:extLst>
        </xdr:cNvPr>
        <xdr:cNvSpPr/>
      </xdr:nvSpPr>
      <xdr:spPr>
        <a:xfrm>
          <a:off x="0" y="256057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1475</xdr:row>
      <xdr:rowOff>0</xdr:rowOff>
    </xdr:from>
    <xdr:to>
      <xdr:col>0</xdr:col>
      <xdr:colOff>323850</xdr:colOff>
      <xdr:row>1476</xdr:row>
      <xdr:rowOff>120650</xdr:rowOff>
    </xdr:to>
    <xdr:sp macro="" textlink="">
      <xdr:nvSpPr>
        <xdr:cNvPr id="524" name="Frame 523">
          <a:extLst>
            <a:ext uri="{FF2B5EF4-FFF2-40B4-BE49-F238E27FC236}">
              <a16:creationId xmlns:a16="http://schemas.microsoft.com/office/drawing/2014/main" id="{89CD6246-A9C0-482D-953C-07B627137927}"/>
            </a:ext>
          </a:extLst>
        </xdr:cNvPr>
        <xdr:cNvSpPr/>
      </xdr:nvSpPr>
      <xdr:spPr>
        <a:xfrm>
          <a:off x="0" y="25642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1477</xdr:row>
      <xdr:rowOff>0</xdr:rowOff>
    </xdr:from>
    <xdr:to>
      <xdr:col>0</xdr:col>
      <xdr:colOff>323850</xdr:colOff>
      <xdr:row>1478</xdr:row>
      <xdr:rowOff>120650</xdr:rowOff>
    </xdr:to>
    <xdr:sp macro="" textlink="">
      <xdr:nvSpPr>
        <xdr:cNvPr id="525" name="Frame 524">
          <a:extLst>
            <a:ext uri="{FF2B5EF4-FFF2-40B4-BE49-F238E27FC236}">
              <a16:creationId xmlns:a16="http://schemas.microsoft.com/office/drawing/2014/main" id="{B16E1DBA-DDF0-4852-9C73-72366DEAD9CA}"/>
            </a:ext>
          </a:extLst>
        </xdr:cNvPr>
        <xdr:cNvSpPr/>
      </xdr:nvSpPr>
      <xdr:spPr>
        <a:xfrm>
          <a:off x="0" y="25679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1479</xdr:row>
      <xdr:rowOff>0</xdr:rowOff>
    </xdr:from>
    <xdr:to>
      <xdr:col>0</xdr:col>
      <xdr:colOff>323850</xdr:colOff>
      <xdr:row>1480</xdr:row>
      <xdr:rowOff>120650</xdr:rowOff>
    </xdr:to>
    <xdr:sp macro="" textlink="">
      <xdr:nvSpPr>
        <xdr:cNvPr id="526" name="Frame 525">
          <a:extLst>
            <a:ext uri="{FF2B5EF4-FFF2-40B4-BE49-F238E27FC236}">
              <a16:creationId xmlns:a16="http://schemas.microsoft.com/office/drawing/2014/main" id="{D158D10B-069D-494D-8E99-8188491E6150}"/>
            </a:ext>
          </a:extLst>
        </xdr:cNvPr>
        <xdr:cNvSpPr/>
      </xdr:nvSpPr>
      <xdr:spPr>
        <a:xfrm>
          <a:off x="0" y="25716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1481</xdr:row>
      <xdr:rowOff>0</xdr:rowOff>
    </xdr:from>
    <xdr:to>
      <xdr:col>0</xdr:col>
      <xdr:colOff>323850</xdr:colOff>
      <xdr:row>1482</xdr:row>
      <xdr:rowOff>120650</xdr:rowOff>
    </xdr:to>
    <xdr:sp macro="" textlink="">
      <xdr:nvSpPr>
        <xdr:cNvPr id="527" name="Frame 526">
          <a:extLst>
            <a:ext uri="{FF2B5EF4-FFF2-40B4-BE49-F238E27FC236}">
              <a16:creationId xmlns:a16="http://schemas.microsoft.com/office/drawing/2014/main" id="{CB997513-2710-4287-BAD9-B09BEB96C943}"/>
            </a:ext>
          </a:extLst>
        </xdr:cNvPr>
        <xdr:cNvSpPr/>
      </xdr:nvSpPr>
      <xdr:spPr>
        <a:xfrm>
          <a:off x="0" y="25753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1483</xdr:row>
      <xdr:rowOff>0</xdr:rowOff>
    </xdr:from>
    <xdr:to>
      <xdr:col>0</xdr:col>
      <xdr:colOff>323850</xdr:colOff>
      <xdr:row>1484</xdr:row>
      <xdr:rowOff>120650</xdr:rowOff>
    </xdr:to>
    <xdr:sp macro="" textlink="">
      <xdr:nvSpPr>
        <xdr:cNvPr id="528" name="Frame 527">
          <a:extLst>
            <a:ext uri="{FF2B5EF4-FFF2-40B4-BE49-F238E27FC236}">
              <a16:creationId xmlns:a16="http://schemas.microsoft.com/office/drawing/2014/main" id="{C6F15450-DE0B-4E07-AF23-3996F7F20F43}"/>
            </a:ext>
          </a:extLst>
        </xdr:cNvPr>
        <xdr:cNvSpPr/>
      </xdr:nvSpPr>
      <xdr:spPr>
        <a:xfrm>
          <a:off x="0" y="25789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1485</xdr:row>
      <xdr:rowOff>0</xdr:rowOff>
    </xdr:from>
    <xdr:to>
      <xdr:col>0</xdr:col>
      <xdr:colOff>323850</xdr:colOff>
      <xdr:row>1486</xdr:row>
      <xdr:rowOff>120650</xdr:rowOff>
    </xdr:to>
    <xdr:sp macro="" textlink="">
      <xdr:nvSpPr>
        <xdr:cNvPr id="529" name="Frame 528">
          <a:extLst>
            <a:ext uri="{FF2B5EF4-FFF2-40B4-BE49-F238E27FC236}">
              <a16:creationId xmlns:a16="http://schemas.microsoft.com/office/drawing/2014/main" id="{EB4F0BF8-A795-42D6-8891-3E378101259F}"/>
            </a:ext>
          </a:extLst>
        </xdr:cNvPr>
        <xdr:cNvSpPr/>
      </xdr:nvSpPr>
      <xdr:spPr>
        <a:xfrm>
          <a:off x="0" y="25826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1487</xdr:row>
      <xdr:rowOff>0</xdr:rowOff>
    </xdr:from>
    <xdr:to>
      <xdr:col>0</xdr:col>
      <xdr:colOff>323850</xdr:colOff>
      <xdr:row>1488</xdr:row>
      <xdr:rowOff>120650</xdr:rowOff>
    </xdr:to>
    <xdr:sp macro="" textlink="">
      <xdr:nvSpPr>
        <xdr:cNvPr id="530" name="Frame 529">
          <a:extLst>
            <a:ext uri="{FF2B5EF4-FFF2-40B4-BE49-F238E27FC236}">
              <a16:creationId xmlns:a16="http://schemas.microsoft.com/office/drawing/2014/main" id="{5CFD7B37-5F1B-4040-85BE-6B24E138AB4D}"/>
            </a:ext>
          </a:extLst>
        </xdr:cNvPr>
        <xdr:cNvSpPr/>
      </xdr:nvSpPr>
      <xdr:spPr>
        <a:xfrm>
          <a:off x="0" y="25863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1502</xdr:row>
      <xdr:rowOff>177800</xdr:rowOff>
    </xdr:from>
    <xdr:to>
      <xdr:col>0</xdr:col>
      <xdr:colOff>330200</xdr:colOff>
      <xdr:row>1504</xdr:row>
      <xdr:rowOff>114300</xdr:rowOff>
    </xdr:to>
    <xdr:sp macro="" textlink="">
      <xdr:nvSpPr>
        <xdr:cNvPr id="531" name="Frame 530">
          <a:extLst>
            <a:ext uri="{FF2B5EF4-FFF2-40B4-BE49-F238E27FC236}">
              <a16:creationId xmlns:a16="http://schemas.microsoft.com/office/drawing/2014/main" id="{15AF4337-BD21-41C3-B1D2-AB5EE740F72C}"/>
            </a:ext>
          </a:extLst>
        </xdr:cNvPr>
        <xdr:cNvSpPr/>
      </xdr:nvSpPr>
      <xdr:spPr>
        <a:xfrm>
          <a:off x="6350" y="26156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1505</xdr:row>
      <xdr:rowOff>0</xdr:rowOff>
    </xdr:from>
    <xdr:to>
      <xdr:col>0</xdr:col>
      <xdr:colOff>323850</xdr:colOff>
      <xdr:row>1506</xdr:row>
      <xdr:rowOff>120650</xdr:rowOff>
    </xdr:to>
    <xdr:sp macro="" textlink="">
      <xdr:nvSpPr>
        <xdr:cNvPr id="532" name="Frame 531">
          <a:extLst>
            <a:ext uri="{FF2B5EF4-FFF2-40B4-BE49-F238E27FC236}">
              <a16:creationId xmlns:a16="http://schemas.microsoft.com/office/drawing/2014/main" id="{C720FE37-7238-41B8-8F1D-C236758E2D1E}"/>
            </a:ext>
          </a:extLst>
        </xdr:cNvPr>
        <xdr:cNvSpPr/>
      </xdr:nvSpPr>
      <xdr:spPr>
        <a:xfrm>
          <a:off x="0" y="26194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1507</xdr:row>
      <xdr:rowOff>0</xdr:rowOff>
    </xdr:from>
    <xdr:to>
      <xdr:col>0</xdr:col>
      <xdr:colOff>323850</xdr:colOff>
      <xdr:row>1508</xdr:row>
      <xdr:rowOff>120650</xdr:rowOff>
    </xdr:to>
    <xdr:sp macro="" textlink="">
      <xdr:nvSpPr>
        <xdr:cNvPr id="533" name="Frame 532">
          <a:extLst>
            <a:ext uri="{FF2B5EF4-FFF2-40B4-BE49-F238E27FC236}">
              <a16:creationId xmlns:a16="http://schemas.microsoft.com/office/drawing/2014/main" id="{9C83BFC2-1153-4CE2-93AF-C4217C1C6330}"/>
            </a:ext>
          </a:extLst>
        </xdr:cNvPr>
        <xdr:cNvSpPr/>
      </xdr:nvSpPr>
      <xdr:spPr>
        <a:xfrm>
          <a:off x="0" y="26231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1509</xdr:row>
      <xdr:rowOff>0</xdr:rowOff>
    </xdr:from>
    <xdr:to>
      <xdr:col>0</xdr:col>
      <xdr:colOff>323850</xdr:colOff>
      <xdr:row>1510</xdr:row>
      <xdr:rowOff>120650</xdr:rowOff>
    </xdr:to>
    <xdr:sp macro="" textlink="">
      <xdr:nvSpPr>
        <xdr:cNvPr id="534" name="Frame 533">
          <a:extLst>
            <a:ext uri="{FF2B5EF4-FFF2-40B4-BE49-F238E27FC236}">
              <a16:creationId xmlns:a16="http://schemas.microsoft.com/office/drawing/2014/main" id="{1F5628CF-8BEF-450F-A34F-3846C0BD8B87}"/>
            </a:ext>
          </a:extLst>
        </xdr:cNvPr>
        <xdr:cNvSpPr/>
      </xdr:nvSpPr>
      <xdr:spPr>
        <a:xfrm>
          <a:off x="0" y="26268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1511</xdr:row>
      <xdr:rowOff>0</xdr:rowOff>
    </xdr:from>
    <xdr:to>
      <xdr:col>0</xdr:col>
      <xdr:colOff>323850</xdr:colOff>
      <xdr:row>1512</xdr:row>
      <xdr:rowOff>120650</xdr:rowOff>
    </xdr:to>
    <xdr:sp macro="" textlink="">
      <xdr:nvSpPr>
        <xdr:cNvPr id="535" name="Frame 534">
          <a:extLst>
            <a:ext uri="{FF2B5EF4-FFF2-40B4-BE49-F238E27FC236}">
              <a16:creationId xmlns:a16="http://schemas.microsoft.com/office/drawing/2014/main" id="{37B1BABC-5ADA-43D6-B439-782FFBC56A0F}"/>
            </a:ext>
          </a:extLst>
        </xdr:cNvPr>
        <xdr:cNvSpPr/>
      </xdr:nvSpPr>
      <xdr:spPr>
        <a:xfrm>
          <a:off x="0" y="26304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1513</xdr:row>
      <xdr:rowOff>0</xdr:rowOff>
    </xdr:from>
    <xdr:to>
      <xdr:col>0</xdr:col>
      <xdr:colOff>323850</xdr:colOff>
      <xdr:row>1514</xdr:row>
      <xdr:rowOff>120650</xdr:rowOff>
    </xdr:to>
    <xdr:sp macro="" textlink="">
      <xdr:nvSpPr>
        <xdr:cNvPr id="536" name="Frame 535">
          <a:extLst>
            <a:ext uri="{FF2B5EF4-FFF2-40B4-BE49-F238E27FC236}">
              <a16:creationId xmlns:a16="http://schemas.microsoft.com/office/drawing/2014/main" id="{BA830E62-68DA-488D-87AF-C95716104AC8}"/>
            </a:ext>
          </a:extLst>
        </xdr:cNvPr>
        <xdr:cNvSpPr/>
      </xdr:nvSpPr>
      <xdr:spPr>
        <a:xfrm>
          <a:off x="0" y="26341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1515</xdr:row>
      <xdr:rowOff>0</xdr:rowOff>
    </xdr:from>
    <xdr:to>
      <xdr:col>0</xdr:col>
      <xdr:colOff>323850</xdr:colOff>
      <xdr:row>1516</xdr:row>
      <xdr:rowOff>120650</xdr:rowOff>
    </xdr:to>
    <xdr:sp macro="" textlink="">
      <xdr:nvSpPr>
        <xdr:cNvPr id="537" name="Frame 536">
          <a:extLst>
            <a:ext uri="{FF2B5EF4-FFF2-40B4-BE49-F238E27FC236}">
              <a16:creationId xmlns:a16="http://schemas.microsoft.com/office/drawing/2014/main" id="{DE0E1977-B06D-4611-ABDB-89DFE1A09D4C}"/>
            </a:ext>
          </a:extLst>
        </xdr:cNvPr>
        <xdr:cNvSpPr/>
      </xdr:nvSpPr>
      <xdr:spPr>
        <a:xfrm>
          <a:off x="0" y="26378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1517</xdr:row>
      <xdr:rowOff>0</xdr:rowOff>
    </xdr:from>
    <xdr:to>
      <xdr:col>0</xdr:col>
      <xdr:colOff>323850</xdr:colOff>
      <xdr:row>1518</xdr:row>
      <xdr:rowOff>120650</xdr:rowOff>
    </xdr:to>
    <xdr:sp macro="" textlink="">
      <xdr:nvSpPr>
        <xdr:cNvPr id="538" name="Frame 537">
          <a:extLst>
            <a:ext uri="{FF2B5EF4-FFF2-40B4-BE49-F238E27FC236}">
              <a16:creationId xmlns:a16="http://schemas.microsoft.com/office/drawing/2014/main" id="{4EC5FF77-99C4-41FF-8F53-378037B7B91E}"/>
            </a:ext>
          </a:extLst>
        </xdr:cNvPr>
        <xdr:cNvSpPr/>
      </xdr:nvSpPr>
      <xdr:spPr>
        <a:xfrm>
          <a:off x="0" y="26415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1519</xdr:row>
      <xdr:rowOff>0</xdr:rowOff>
    </xdr:from>
    <xdr:to>
      <xdr:col>0</xdr:col>
      <xdr:colOff>323850</xdr:colOff>
      <xdr:row>1520</xdr:row>
      <xdr:rowOff>120650</xdr:rowOff>
    </xdr:to>
    <xdr:sp macro="" textlink="">
      <xdr:nvSpPr>
        <xdr:cNvPr id="539" name="Frame 538">
          <a:extLst>
            <a:ext uri="{FF2B5EF4-FFF2-40B4-BE49-F238E27FC236}">
              <a16:creationId xmlns:a16="http://schemas.microsoft.com/office/drawing/2014/main" id="{460678F6-585E-4605-86EA-525D84550523}"/>
            </a:ext>
          </a:extLst>
        </xdr:cNvPr>
        <xdr:cNvSpPr/>
      </xdr:nvSpPr>
      <xdr:spPr>
        <a:xfrm>
          <a:off x="0" y="26452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1533</xdr:row>
      <xdr:rowOff>177800</xdr:rowOff>
    </xdr:from>
    <xdr:to>
      <xdr:col>0</xdr:col>
      <xdr:colOff>330200</xdr:colOff>
      <xdr:row>1535</xdr:row>
      <xdr:rowOff>114300</xdr:rowOff>
    </xdr:to>
    <xdr:sp macro="" textlink="">
      <xdr:nvSpPr>
        <xdr:cNvPr id="548" name="Frame 547">
          <a:extLst>
            <a:ext uri="{FF2B5EF4-FFF2-40B4-BE49-F238E27FC236}">
              <a16:creationId xmlns:a16="http://schemas.microsoft.com/office/drawing/2014/main" id="{9A2E2878-4BE5-49A6-81D4-3A65EC6D43F7}"/>
            </a:ext>
          </a:extLst>
        </xdr:cNvPr>
        <xdr:cNvSpPr/>
      </xdr:nvSpPr>
      <xdr:spPr>
        <a:xfrm>
          <a:off x="6350" y="27040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1536</xdr:row>
      <xdr:rowOff>0</xdr:rowOff>
    </xdr:from>
    <xdr:to>
      <xdr:col>0</xdr:col>
      <xdr:colOff>323850</xdr:colOff>
      <xdr:row>1537</xdr:row>
      <xdr:rowOff>120650</xdr:rowOff>
    </xdr:to>
    <xdr:sp macro="" textlink="">
      <xdr:nvSpPr>
        <xdr:cNvPr id="549" name="Frame 548">
          <a:extLst>
            <a:ext uri="{FF2B5EF4-FFF2-40B4-BE49-F238E27FC236}">
              <a16:creationId xmlns:a16="http://schemas.microsoft.com/office/drawing/2014/main" id="{CCD03856-C1A2-40FE-A54D-60ACA0B85944}"/>
            </a:ext>
          </a:extLst>
        </xdr:cNvPr>
        <xdr:cNvSpPr/>
      </xdr:nvSpPr>
      <xdr:spPr>
        <a:xfrm>
          <a:off x="0" y="270776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1538</xdr:row>
      <xdr:rowOff>0</xdr:rowOff>
    </xdr:from>
    <xdr:to>
      <xdr:col>0</xdr:col>
      <xdr:colOff>323850</xdr:colOff>
      <xdr:row>1539</xdr:row>
      <xdr:rowOff>120650</xdr:rowOff>
    </xdr:to>
    <xdr:sp macro="" textlink="">
      <xdr:nvSpPr>
        <xdr:cNvPr id="550" name="Frame 549">
          <a:extLst>
            <a:ext uri="{FF2B5EF4-FFF2-40B4-BE49-F238E27FC236}">
              <a16:creationId xmlns:a16="http://schemas.microsoft.com/office/drawing/2014/main" id="{45DDAF24-95E0-4E2E-88AF-8B218A778F88}"/>
            </a:ext>
          </a:extLst>
        </xdr:cNvPr>
        <xdr:cNvSpPr/>
      </xdr:nvSpPr>
      <xdr:spPr>
        <a:xfrm>
          <a:off x="0" y="27114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1540</xdr:row>
      <xdr:rowOff>0</xdr:rowOff>
    </xdr:from>
    <xdr:to>
      <xdr:col>0</xdr:col>
      <xdr:colOff>323850</xdr:colOff>
      <xdr:row>1541</xdr:row>
      <xdr:rowOff>120650</xdr:rowOff>
    </xdr:to>
    <xdr:sp macro="" textlink="">
      <xdr:nvSpPr>
        <xdr:cNvPr id="551" name="Frame 550">
          <a:extLst>
            <a:ext uri="{FF2B5EF4-FFF2-40B4-BE49-F238E27FC236}">
              <a16:creationId xmlns:a16="http://schemas.microsoft.com/office/drawing/2014/main" id="{E7C6A287-B7FC-40C9-A2A0-B534AA731711}"/>
            </a:ext>
          </a:extLst>
        </xdr:cNvPr>
        <xdr:cNvSpPr/>
      </xdr:nvSpPr>
      <xdr:spPr>
        <a:xfrm>
          <a:off x="0" y="271513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1542</xdr:row>
      <xdr:rowOff>0</xdr:rowOff>
    </xdr:from>
    <xdr:to>
      <xdr:col>0</xdr:col>
      <xdr:colOff>323850</xdr:colOff>
      <xdr:row>1543</xdr:row>
      <xdr:rowOff>120650</xdr:rowOff>
    </xdr:to>
    <xdr:sp macro="" textlink="">
      <xdr:nvSpPr>
        <xdr:cNvPr id="552" name="Frame 551">
          <a:extLst>
            <a:ext uri="{FF2B5EF4-FFF2-40B4-BE49-F238E27FC236}">
              <a16:creationId xmlns:a16="http://schemas.microsoft.com/office/drawing/2014/main" id="{6D37558D-CC01-4EAF-8872-739CFF50CAFF}"/>
            </a:ext>
          </a:extLst>
        </xdr:cNvPr>
        <xdr:cNvSpPr/>
      </xdr:nvSpPr>
      <xdr:spPr>
        <a:xfrm>
          <a:off x="0" y="271881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1544</xdr:row>
      <xdr:rowOff>0</xdr:rowOff>
    </xdr:from>
    <xdr:to>
      <xdr:col>0</xdr:col>
      <xdr:colOff>323850</xdr:colOff>
      <xdr:row>1545</xdr:row>
      <xdr:rowOff>120650</xdr:rowOff>
    </xdr:to>
    <xdr:sp macro="" textlink="">
      <xdr:nvSpPr>
        <xdr:cNvPr id="553" name="Frame 552">
          <a:extLst>
            <a:ext uri="{FF2B5EF4-FFF2-40B4-BE49-F238E27FC236}">
              <a16:creationId xmlns:a16="http://schemas.microsoft.com/office/drawing/2014/main" id="{1DE5763D-32E7-4E22-B8DC-41A7AE9B0166}"/>
            </a:ext>
          </a:extLst>
        </xdr:cNvPr>
        <xdr:cNvSpPr/>
      </xdr:nvSpPr>
      <xdr:spPr>
        <a:xfrm>
          <a:off x="0" y="27224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1558</xdr:row>
      <xdr:rowOff>177800</xdr:rowOff>
    </xdr:from>
    <xdr:to>
      <xdr:col>0</xdr:col>
      <xdr:colOff>330200</xdr:colOff>
      <xdr:row>1560</xdr:row>
      <xdr:rowOff>114300</xdr:rowOff>
    </xdr:to>
    <xdr:sp macro="" textlink="">
      <xdr:nvSpPr>
        <xdr:cNvPr id="557" name="Frame 556">
          <a:extLst>
            <a:ext uri="{FF2B5EF4-FFF2-40B4-BE49-F238E27FC236}">
              <a16:creationId xmlns:a16="http://schemas.microsoft.com/office/drawing/2014/main" id="{D795E70E-F1B2-47C9-8387-005F0E928BBA}"/>
            </a:ext>
          </a:extLst>
        </xdr:cNvPr>
        <xdr:cNvSpPr/>
      </xdr:nvSpPr>
      <xdr:spPr>
        <a:xfrm>
          <a:off x="6350" y="26156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1561</xdr:row>
      <xdr:rowOff>0</xdr:rowOff>
    </xdr:from>
    <xdr:to>
      <xdr:col>0</xdr:col>
      <xdr:colOff>323850</xdr:colOff>
      <xdr:row>1562</xdr:row>
      <xdr:rowOff>120650</xdr:rowOff>
    </xdr:to>
    <xdr:sp macro="" textlink="">
      <xdr:nvSpPr>
        <xdr:cNvPr id="558" name="Frame 557">
          <a:extLst>
            <a:ext uri="{FF2B5EF4-FFF2-40B4-BE49-F238E27FC236}">
              <a16:creationId xmlns:a16="http://schemas.microsoft.com/office/drawing/2014/main" id="{8A8CB687-205E-4BA2-8424-0864C22A4C5B}"/>
            </a:ext>
          </a:extLst>
        </xdr:cNvPr>
        <xdr:cNvSpPr/>
      </xdr:nvSpPr>
      <xdr:spPr>
        <a:xfrm>
          <a:off x="0" y="26194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1563</xdr:row>
      <xdr:rowOff>0</xdr:rowOff>
    </xdr:from>
    <xdr:to>
      <xdr:col>0</xdr:col>
      <xdr:colOff>323850</xdr:colOff>
      <xdr:row>1564</xdr:row>
      <xdr:rowOff>120650</xdr:rowOff>
    </xdr:to>
    <xdr:sp macro="" textlink="">
      <xdr:nvSpPr>
        <xdr:cNvPr id="559" name="Frame 558">
          <a:extLst>
            <a:ext uri="{FF2B5EF4-FFF2-40B4-BE49-F238E27FC236}">
              <a16:creationId xmlns:a16="http://schemas.microsoft.com/office/drawing/2014/main" id="{BE1DFDBA-D382-45EF-8450-294CCC0EE1AE}"/>
            </a:ext>
          </a:extLst>
        </xdr:cNvPr>
        <xdr:cNvSpPr/>
      </xdr:nvSpPr>
      <xdr:spPr>
        <a:xfrm>
          <a:off x="0" y="26231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1565</xdr:row>
      <xdr:rowOff>0</xdr:rowOff>
    </xdr:from>
    <xdr:to>
      <xdr:col>0</xdr:col>
      <xdr:colOff>323850</xdr:colOff>
      <xdr:row>1566</xdr:row>
      <xdr:rowOff>120650</xdr:rowOff>
    </xdr:to>
    <xdr:sp macro="" textlink="">
      <xdr:nvSpPr>
        <xdr:cNvPr id="560" name="Frame 559">
          <a:extLst>
            <a:ext uri="{FF2B5EF4-FFF2-40B4-BE49-F238E27FC236}">
              <a16:creationId xmlns:a16="http://schemas.microsoft.com/office/drawing/2014/main" id="{A2BD672A-CFF3-45CC-9F46-7B6390E4A6FF}"/>
            </a:ext>
          </a:extLst>
        </xdr:cNvPr>
        <xdr:cNvSpPr/>
      </xdr:nvSpPr>
      <xdr:spPr>
        <a:xfrm>
          <a:off x="0" y="26268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1567</xdr:row>
      <xdr:rowOff>0</xdr:rowOff>
    </xdr:from>
    <xdr:to>
      <xdr:col>0</xdr:col>
      <xdr:colOff>323850</xdr:colOff>
      <xdr:row>1568</xdr:row>
      <xdr:rowOff>120650</xdr:rowOff>
    </xdr:to>
    <xdr:sp macro="" textlink="">
      <xdr:nvSpPr>
        <xdr:cNvPr id="561" name="Frame 560">
          <a:extLst>
            <a:ext uri="{FF2B5EF4-FFF2-40B4-BE49-F238E27FC236}">
              <a16:creationId xmlns:a16="http://schemas.microsoft.com/office/drawing/2014/main" id="{C5AD61D8-7EAD-4271-A21E-6D45D6EAD095}"/>
            </a:ext>
          </a:extLst>
        </xdr:cNvPr>
        <xdr:cNvSpPr/>
      </xdr:nvSpPr>
      <xdr:spPr>
        <a:xfrm>
          <a:off x="0" y="26304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323850</xdr:colOff>
      <xdr:row>1570</xdr:row>
      <xdr:rowOff>120650</xdr:rowOff>
    </xdr:to>
    <xdr:sp macro="" textlink="">
      <xdr:nvSpPr>
        <xdr:cNvPr id="562" name="Frame 561">
          <a:extLst>
            <a:ext uri="{FF2B5EF4-FFF2-40B4-BE49-F238E27FC236}">
              <a16:creationId xmlns:a16="http://schemas.microsoft.com/office/drawing/2014/main" id="{A4FE17B4-75E5-4436-ADE5-B5FB836932D0}"/>
            </a:ext>
          </a:extLst>
        </xdr:cNvPr>
        <xdr:cNvSpPr/>
      </xdr:nvSpPr>
      <xdr:spPr>
        <a:xfrm>
          <a:off x="0" y="26341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1571</xdr:row>
      <xdr:rowOff>0</xdr:rowOff>
    </xdr:from>
    <xdr:to>
      <xdr:col>0</xdr:col>
      <xdr:colOff>323850</xdr:colOff>
      <xdr:row>1572</xdr:row>
      <xdr:rowOff>120650</xdr:rowOff>
    </xdr:to>
    <xdr:sp macro="" textlink="">
      <xdr:nvSpPr>
        <xdr:cNvPr id="563" name="Frame 562">
          <a:extLst>
            <a:ext uri="{FF2B5EF4-FFF2-40B4-BE49-F238E27FC236}">
              <a16:creationId xmlns:a16="http://schemas.microsoft.com/office/drawing/2014/main" id="{B03776AB-E69E-448E-BB2E-AA068DCB2276}"/>
            </a:ext>
          </a:extLst>
        </xdr:cNvPr>
        <xdr:cNvSpPr/>
      </xdr:nvSpPr>
      <xdr:spPr>
        <a:xfrm>
          <a:off x="0" y="26378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1573</xdr:row>
      <xdr:rowOff>0</xdr:rowOff>
    </xdr:from>
    <xdr:to>
      <xdr:col>0</xdr:col>
      <xdr:colOff>323850</xdr:colOff>
      <xdr:row>1574</xdr:row>
      <xdr:rowOff>120650</xdr:rowOff>
    </xdr:to>
    <xdr:sp macro="" textlink="">
      <xdr:nvSpPr>
        <xdr:cNvPr id="564" name="Frame 563">
          <a:extLst>
            <a:ext uri="{FF2B5EF4-FFF2-40B4-BE49-F238E27FC236}">
              <a16:creationId xmlns:a16="http://schemas.microsoft.com/office/drawing/2014/main" id="{2E831006-8670-42F1-AC2F-749F523389CB}"/>
            </a:ext>
          </a:extLst>
        </xdr:cNvPr>
        <xdr:cNvSpPr/>
      </xdr:nvSpPr>
      <xdr:spPr>
        <a:xfrm>
          <a:off x="0" y="26415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1575</xdr:row>
      <xdr:rowOff>0</xdr:rowOff>
    </xdr:from>
    <xdr:to>
      <xdr:col>0</xdr:col>
      <xdr:colOff>323850</xdr:colOff>
      <xdr:row>1576</xdr:row>
      <xdr:rowOff>120650</xdr:rowOff>
    </xdr:to>
    <xdr:sp macro="" textlink="">
      <xdr:nvSpPr>
        <xdr:cNvPr id="565" name="Frame 564">
          <a:extLst>
            <a:ext uri="{FF2B5EF4-FFF2-40B4-BE49-F238E27FC236}">
              <a16:creationId xmlns:a16="http://schemas.microsoft.com/office/drawing/2014/main" id="{D04C1CD1-2468-40F1-96F6-FEE22A6AED7A}"/>
            </a:ext>
          </a:extLst>
        </xdr:cNvPr>
        <xdr:cNvSpPr/>
      </xdr:nvSpPr>
      <xdr:spPr>
        <a:xfrm>
          <a:off x="0" y="26452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1577</xdr:row>
      <xdr:rowOff>0</xdr:rowOff>
    </xdr:from>
    <xdr:to>
      <xdr:col>0</xdr:col>
      <xdr:colOff>323850</xdr:colOff>
      <xdr:row>1578</xdr:row>
      <xdr:rowOff>120650</xdr:rowOff>
    </xdr:to>
    <xdr:sp macro="" textlink="">
      <xdr:nvSpPr>
        <xdr:cNvPr id="566" name="Frame 565">
          <a:extLst>
            <a:ext uri="{FF2B5EF4-FFF2-40B4-BE49-F238E27FC236}">
              <a16:creationId xmlns:a16="http://schemas.microsoft.com/office/drawing/2014/main" id="{E0FFC89E-0160-4E30-BBE7-AE60A34A2F6A}"/>
            </a:ext>
          </a:extLst>
        </xdr:cNvPr>
        <xdr:cNvSpPr/>
      </xdr:nvSpPr>
      <xdr:spPr>
        <a:xfrm>
          <a:off x="0" y="26489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1579</xdr:row>
      <xdr:rowOff>0</xdr:rowOff>
    </xdr:from>
    <xdr:to>
      <xdr:col>0</xdr:col>
      <xdr:colOff>323850</xdr:colOff>
      <xdr:row>1580</xdr:row>
      <xdr:rowOff>120650</xdr:rowOff>
    </xdr:to>
    <xdr:sp macro="" textlink="">
      <xdr:nvSpPr>
        <xdr:cNvPr id="567" name="Frame 566">
          <a:extLst>
            <a:ext uri="{FF2B5EF4-FFF2-40B4-BE49-F238E27FC236}">
              <a16:creationId xmlns:a16="http://schemas.microsoft.com/office/drawing/2014/main" id="{79182708-AFEE-4D97-873D-ED75EE9A3106}"/>
            </a:ext>
          </a:extLst>
        </xdr:cNvPr>
        <xdr:cNvSpPr/>
      </xdr:nvSpPr>
      <xdr:spPr>
        <a:xfrm>
          <a:off x="0" y="26525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1581</xdr:row>
      <xdr:rowOff>0</xdr:rowOff>
    </xdr:from>
    <xdr:to>
      <xdr:col>0</xdr:col>
      <xdr:colOff>323850</xdr:colOff>
      <xdr:row>1582</xdr:row>
      <xdr:rowOff>120650</xdr:rowOff>
    </xdr:to>
    <xdr:sp macro="" textlink="">
      <xdr:nvSpPr>
        <xdr:cNvPr id="568" name="Frame 567">
          <a:extLst>
            <a:ext uri="{FF2B5EF4-FFF2-40B4-BE49-F238E27FC236}">
              <a16:creationId xmlns:a16="http://schemas.microsoft.com/office/drawing/2014/main" id="{3FE710FE-457C-45BF-91C4-4894185BC14E}"/>
            </a:ext>
          </a:extLst>
        </xdr:cNvPr>
        <xdr:cNvSpPr/>
      </xdr:nvSpPr>
      <xdr:spPr>
        <a:xfrm>
          <a:off x="0" y="26562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1583</xdr:row>
      <xdr:rowOff>0</xdr:rowOff>
    </xdr:from>
    <xdr:to>
      <xdr:col>0</xdr:col>
      <xdr:colOff>323850</xdr:colOff>
      <xdr:row>1584</xdr:row>
      <xdr:rowOff>120650</xdr:rowOff>
    </xdr:to>
    <xdr:sp macro="" textlink="">
      <xdr:nvSpPr>
        <xdr:cNvPr id="569" name="Frame 568">
          <a:extLst>
            <a:ext uri="{FF2B5EF4-FFF2-40B4-BE49-F238E27FC236}">
              <a16:creationId xmlns:a16="http://schemas.microsoft.com/office/drawing/2014/main" id="{26D2A87B-BC58-4B4F-B760-F3A5AB76A913}"/>
            </a:ext>
          </a:extLst>
        </xdr:cNvPr>
        <xdr:cNvSpPr/>
      </xdr:nvSpPr>
      <xdr:spPr>
        <a:xfrm>
          <a:off x="0" y="26599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1591</xdr:row>
      <xdr:rowOff>0</xdr:rowOff>
    </xdr:from>
    <xdr:to>
      <xdr:col>0</xdr:col>
      <xdr:colOff>323850</xdr:colOff>
      <xdr:row>1592</xdr:row>
      <xdr:rowOff>120650</xdr:rowOff>
    </xdr:to>
    <xdr:sp macro="" textlink="">
      <xdr:nvSpPr>
        <xdr:cNvPr id="570" name="Frame 569">
          <a:extLst>
            <a:ext uri="{FF2B5EF4-FFF2-40B4-BE49-F238E27FC236}">
              <a16:creationId xmlns:a16="http://schemas.microsoft.com/office/drawing/2014/main" id="{67127FEF-BDEB-47A3-9E4D-82469F5A048A}"/>
            </a:ext>
          </a:extLst>
        </xdr:cNvPr>
        <xdr:cNvSpPr/>
      </xdr:nvSpPr>
      <xdr:spPr>
        <a:xfrm>
          <a:off x="0" y="266363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1593</xdr:row>
      <xdr:rowOff>0</xdr:rowOff>
    </xdr:from>
    <xdr:to>
      <xdr:col>0</xdr:col>
      <xdr:colOff>323850</xdr:colOff>
      <xdr:row>1594</xdr:row>
      <xdr:rowOff>120650</xdr:rowOff>
    </xdr:to>
    <xdr:sp macro="" textlink="">
      <xdr:nvSpPr>
        <xdr:cNvPr id="571" name="Frame 570">
          <a:extLst>
            <a:ext uri="{FF2B5EF4-FFF2-40B4-BE49-F238E27FC236}">
              <a16:creationId xmlns:a16="http://schemas.microsoft.com/office/drawing/2014/main" id="{86EA8468-D2C9-410E-888D-5C0F5D7E8296}"/>
            </a:ext>
          </a:extLst>
        </xdr:cNvPr>
        <xdr:cNvSpPr/>
      </xdr:nvSpPr>
      <xdr:spPr>
        <a:xfrm>
          <a:off x="0" y="266731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1595</xdr:row>
      <xdr:rowOff>0</xdr:rowOff>
    </xdr:from>
    <xdr:to>
      <xdr:col>0</xdr:col>
      <xdr:colOff>323850</xdr:colOff>
      <xdr:row>1596</xdr:row>
      <xdr:rowOff>120650</xdr:rowOff>
    </xdr:to>
    <xdr:sp macro="" textlink="">
      <xdr:nvSpPr>
        <xdr:cNvPr id="572" name="Frame 571">
          <a:extLst>
            <a:ext uri="{FF2B5EF4-FFF2-40B4-BE49-F238E27FC236}">
              <a16:creationId xmlns:a16="http://schemas.microsoft.com/office/drawing/2014/main" id="{50E01A4C-E7BF-4EC0-96E6-F664E1769ADC}"/>
            </a:ext>
          </a:extLst>
        </xdr:cNvPr>
        <xdr:cNvSpPr/>
      </xdr:nvSpPr>
      <xdr:spPr>
        <a:xfrm>
          <a:off x="0" y="267100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1599</xdr:row>
      <xdr:rowOff>0</xdr:rowOff>
    </xdr:from>
    <xdr:to>
      <xdr:col>0</xdr:col>
      <xdr:colOff>323850</xdr:colOff>
      <xdr:row>1600</xdr:row>
      <xdr:rowOff>120650</xdr:rowOff>
    </xdr:to>
    <xdr:sp macro="" textlink="">
      <xdr:nvSpPr>
        <xdr:cNvPr id="573" name="Frame 572">
          <a:extLst>
            <a:ext uri="{FF2B5EF4-FFF2-40B4-BE49-F238E27FC236}">
              <a16:creationId xmlns:a16="http://schemas.microsoft.com/office/drawing/2014/main" id="{CFA7AEAB-72A5-430F-9034-DC5A004491DD}"/>
            </a:ext>
          </a:extLst>
        </xdr:cNvPr>
        <xdr:cNvSpPr/>
      </xdr:nvSpPr>
      <xdr:spPr>
        <a:xfrm>
          <a:off x="0" y="267468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1585</xdr:row>
      <xdr:rowOff>0</xdr:rowOff>
    </xdr:from>
    <xdr:to>
      <xdr:col>0</xdr:col>
      <xdr:colOff>323850</xdr:colOff>
      <xdr:row>1586</xdr:row>
      <xdr:rowOff>120650</xdr:rowOff>
    </xdr:to>
    <xdr:sp macro="" textlink="">
      <xdr:nvSpPr>
        <xdr:cNvPr id="574" name="Frame 573">
          <a:extLst>
            <a:ext uri="{FF2B5EF4-FFF2-40B4-BE49-F238E27FC236}">
              <a16:creationId xmlns:a16="http://schemas.microsoft.com/office/drawing/2014/main" id="{CE6A069E-213C-4AA9-BDCC-D1A8056E4E04}"/>
            </a:ext>
          </a:extLst>
        </xdr:cNvPr>
        <xdr:cNvSpPr/>
      </xdr:nvSpPr>
      <xdr:spPr>
        <a:xfrm>
          <a:off x="0" y="28586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1587</xdr:row>
      <xdr:rowOff>0</xdr:rowOff>
    </xdr:from>
    <xdr:to>
      <xdr:col>0</xdr:col>
      <xdr:colOff>323850</xdr:colOff>
      <xdr:row>1588</xdr:row>
      <xdr:rowOff>120650</xdr:rowOff>
    </xdr:to>
    <xdr:sp macro="" textlink="">
      <xdr:nvSpPr>
        <xdr:cNvPr id="575" name="Frame 574">
          <a:extLst>
            <a:ext uri="{FF2B5EF4-FFF2-40B4-BE49-F238E27FC236}">
              <a16:creationId xmlns:a16="http://schemas.microsoft.com/office/drawing/2014/main" id="{0E22DA42-E7DB-43A6-945E-C67E6BB7962C}"/>
            </a:ext>
          </a:extLst>
        </xdr:cNvPr>
        <xdr:cNvSpPr/>
      </xdr:nvSpPr>
      <xdr:spPr>
        <a:xfrm>
          <a:off x="0" y="28623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1589</xdr:row>
      <xdr:rowOff>0</xdr:rowOff>
    </xdr:from>
    <xdr:to>
      <xdr:col>0</xdr:col>
      <xdr:colOff>323850</xdr:colOff>
      <xdr:row>1590</xdr:row>
      <xdr:rowOff>120650</xdr:rowOff>
    </xdr:to>
    <xdr:sp macro="" textlink="">
      <xdr:nvSpPr>
        <xdr:cNvPr id="576" name="Frame 575">
          <a:extLst>
            <a:ext uri="{FF2B5EF4-FFF2-40B4-BE49-F238E27FC236}">
              <a16:creationId xmlns:a16="http://schemas.microsoft.com/office/drawing/2014/main" id="{647B238A-18E5-444C-B661-5EB908A84343}"/>
            </a:ext>
          </a:extLst>
        </xdr:cNvPr>
        <xdr:cNvSpPr/>
      </xdr:nvSpPr>
      <xdr:spPr>
        <a:xfrm>
          <a:off x="0" y="28660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1591</xdr:row>
      <xdr:rowOff>0</xdr:rowOff>
    </xdr:from>
    <xdr:to>
      <xdr:col>0</xdr:col>
      <xdr:colOff>323850</xdr:colOff>
      <xdr:row>1591</xdr:row>
      <xdr:rowOff>0</xdr:rowOff>
    </xdr:to>
    <xdr:sp macro="" textlink="">
      <xdr:nvSpPr>
        <xdr:cNvPr id="577" name="Frame 576">
          <a:extLst>
            <a:ext uri="{FF2B5EF4-FFF2-40B4-BE49-F238E27FC236}">
              <a16:creationId xmlns:a16="http://schemas.microsoft.com/office/drawing/2014/main" id="{79EF39A7-CA60-4380-9454-0978E1A36B5C}"/>
            </a:ext>
          </a:extLst>
        </xdr:cNvPr>
        <xdr:cNvSpPr/>
      </xdr:nvSpPr>
      <xdr:spPr>
        <a:xfrm>
          <a:off x="0" y="28696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1597</xdr:row>
      <xdr:rowOff>0</xdr:rowOff>
    </xdr:from>
    <xdr:to>
      <xdr:col>0</xdr:col>
      <xdr:colOff>323850</xdr:colOff>
      <xdr:row>1598</xdr:row>
      <xdr:rowOff>120650</xdr:rowOff>
    </xdr:to>
    <xdr:sp macro="" textlink="">
      <xdr:nvSpPr>
        <xdr:cNvPr id="578" name="Frame 577">
          <a:extLst>
            <a:ext uri="{FF2B5EF4-FFF2-40B4-BE49-F238E27FC236}">
              <a16:creationId xmlns:a16="http://schemas.microsoft.com/office/drawing/2014/main" id="{DFE2A938-AD16-4124-804B-76B366862E10}"/>
            </a:ext>
          </a:extLst>
        </xdr:cNvPr>
        <xdr:cNvSpPr/>
      </xdr:nvSpPr>
      <xdr:spPr>
        <a:xfrm>
          <a:off x="0" y="28844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1614</xdr:row>
      <xdr:rowOff>177800</xdr:rowOff>
    </xdr:from>
    <xdr:to>
      <xdr:col>0</xdr:col>
      <xdr:colOff>330200</xdr:colOff>
      <xdr:row>1616</xdr:row>
      <xdr:rowOff>114300</xdr:rowOff>
    </xdr:to>
    <xdr:sp macro="" textlink="">
      <xdr:nvSpPr>
        <xdr:cNvPr id="579" name="Frame 578">
          <a:extLst>
            <a:ext uri="{FF2B5EF4-FFF2-40B4-BE49-F238E27FC236}">
              <a16:creationId xmlns:a16="http://schemas.microsoft.com/office/drawing/2014/main" id="{BEF989AA-2061-4077-A9E8-D414ECB5B51D}"/>
            </a:ext>
          </a:extLst>
        </xdr:cNvPr>
        <xdr:cNvSpPr/>
      </xdr:nvSpPr>
      <xdr:spPr>
        <a:xfrm>
          <a:off x="6350" y="281070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1617</xdr:row>
      <xdr:rowOff>0</xdr:rowOff>
    </xdr:from>
    <xdr:to>
      <xdr:col>0</xdr:col>
      <xdr:colOff>323850</xdr:colOff>
      <xdr:row>1618</xdr:row>
      <xdr:rowOff>120650</xdr:rowOff>
    </xdr:to>
    <xdr:sp macro="" textlink="">
      <xdr:nvSpPr>
        <xdr:cNvPr id="580" name="Frame 579">
          <a:extLst>
            <a:ext uri="{FF2B5EF4-FFF2-40B4-BE49-F238E27FC236}">
              <a16:creationId xmlns:a16="http://schemas.microsoft.com/office/drawing/2014/main" id="{FD3BB8E5-5C04-47F7-AEC5-99BFD1EEB5EE}"/>
            </a:ext>
          </a:extLst>
        </xdr:cNvPr>
        <xdr:cNvSpPr/>
      </xdr:nvSpPr>
      <xdr:spPr>
        <a:xfrm>
          <a:off x="0" y="28144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1619</xdr:row>
      <xdr:rowOff>0</xdr:rowOff>
    </xdr:from>
    <xdr:to>
      <xdr:col>0</xdr:col>
      <xdr:colOff>323850</xdr:colOff>
      <xdr:row>1620</xdr:row>
      <xdr:rowOff>120650</xdr:rowOff>
    </xdr:to>
    <xdr:sp macro="" textlink="">
      <xdr:nvSpPr>
        <xdr:cNvPr id="581" name="Frame 580">
          <a:extLst>
            <a:ext uri="{FF2B5EF4-FFF2-40B4-BE49-F238E27FC236}">
              <a16:creationId xmlns:a16="http://schemas.microsoft.com/office/drawing/2014/main" id="{8DD618BD-F1C2-40EF-86B2-61C80C94DCFE}"/>
            </a:ext>
          </a:extLst>
        </xdr:cNvPr>
        <xdr:cNvSpPr/>
      </xdr:nvSpPr>
      <xdr:spPr>
        <a:xfrm>
          <a:off x="0" y="28181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1621</xdr:row>
      <xdr:rowOff>0</xdr:rowOff>
    </xdr:from>
    <xdr:to>
      <xdr:col>0</xdr:col>
      <xdr:colOff>323850</xdr:colOff>
      <xdr:row>1622</xdr:row>
      <xdr:rowOff>120650</xdr:rowOff>
    </xdr:to>
    <xdr:sp macro="" textlink="">
      <xdr:nvSpPr>
        <xdr:cNvPr id="582" name="Frame 581">
          <a:extLst>
            <a:ext uri="{FF2B5EF4-FFF2-40B4-BE49-F238E27FC236}">
              <a16:creationId xmlns:a16="http://schemas.microsoft.com/office/drawing/2014/main" id="{0064A518-F93A-4F81-86E7-FE1508BA2670}"/>
            </a:ext>
          </a:extLst>
        </xdr:cNvPr>
        <xdr:cNvSpPr/>
      </xdr:nvSpPr>
      <xdr:spPr>
        <a:xfrm>
          <a:off x="0" y="28218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1623</xdr:row>
      <xdr:rowOff>0</xdr:rowOff>
    </xdr:from>
    <xdr:to>
      <xdr:col>0</xdr:col>
      <xdr:colOff>323850</xdr:colOff>
      <xdr:row>1624</xdr:row>
      <xdr:rowOff>120650</xdr:rowOff>
    </xdr:to>
    <xdr:sp macro="" textlink="">
      <xdr:nvSpPr>
        <xdr:cNvPr id="583" name="Frame 582">
          <a:extLst>
            <a:ext uri="{FF2B5EF4-FFF2-40B4-BE49-F238E27FC236}">
              <a16:creationId xmlns:a16="http://schemas.microsoft.com/office/drawing/2014/main" id="{3F2C8308-97CC-45CF-8D2B-40C30B42D3EE}"/>
            </a:ext>
          </a:extLst>
        </xdr:cNvPr>
        <xdr:cNvSpPr/>
      </xdr:nvSpPr>
      <xdr:spPr>
        <a:xfrm>
          <a:off x="0" y="28254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1625</xdr:row>
      <xdr:rowOff>0</xdr:rowOff>
    </xdr:from>
    <xdr:to>
      <xdr:col>0</xdr:col>
      <xdr:colOff>323850</xdr:colOff>
      <xdr:row>1626</xdr:row>
      <xdr:rowOff>120650</xdr:rowOff>
    </xdr:to>
    <xdr:sp macro="" textlink="">
      <xdr:nvSpPr>
        <xdr:cNvPr id="584" name="Frame 583">
          <a:extLst>
            <a:ext uri="{FF2B5EF4-FFF2-40B4-BE49-F238E27FC236}">
              <a16:creationId xmlns:a16="http://schemas.microsoft.com/office/drawing/2014/main" id="{BD192035-A0D6-469E-AC0A-9E081F6AD90D}"/>
            </a:ext>
          </a:extLst>
        </xdr:cNvPr>
        <xdr:cNvSpPr/>
      </xdr:nvSpPr>
      <xdr:spPr>
        <a:xfrm>
          <a:off x="0" y="28291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1627</xdr:row>
      <xdr:rowOff>0</xdr:rowOff>
    </xdr:from>
    <xdr:to>
      <xdr:col>0</xdr:col>
      <xdr:colOff>323850</xdr:colOff>
      <xdr:row>1628</xdr:row>
      <xdr:rowOff>120650</xdr:rowOff>
    </xdr:to>
    <xdr:sp macro="" textlink="">
      <xdr:nvSpPr>
        <xdr:cNvPr id="585" name="Frame 584">
          <a:extLst>
            <a:ext uri="{FF2B5EF4-FFF2-40B4-BE49-F238E27FC236}">
              <a16:creationId xmlns:a16="http://schemas.microsoft.com/office/drawing/2014/main" id="{01E1D8FB-626D-4FC2-BAC3-F35B068E1D25}"/>
            </a:ext>
          </a:extLst>
        </xdr:cNvPr>
        <xdr:cNvSpPr/>
      </xdr:nvSpPr>
      <xdr:spPr>
        <a:xfrm>
          <a:off x="0" y="28328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1629</xdr:row>
      <xdr:rowOff>0</xdr:rowOff>
    </xdr:from>
    <xdr:to>
      <xdr:col>0</xdr:col>
      <xdr:colOff>323850</xdr:colOff>
      <xdr:row>1630</xdr:row>
      <xdr:rowOff>120650</xdr:rowOff>
    </xdr:to>
    <xdr:sp macro="" textlink="">
      <xdr:nvSpPr>
        <xdr:cNvPr id="586" name="Frame 585">
          <a:extLst>
            <a:ext uri="{FF2B5EF4-FFF2-40B4-BE49-F238E27FC236}">
              <a16:creationId xmlns:a16="http://schemas.microsoft.com/office/drawing/2014/main" id="{65F6E710-ED6A-4AF4-AE9B-9D088061B6B5}"/>
            </a:ext>
          </a:extLst>
        </xdr:cNvPr>
        <xdr:cNvSpPr/>
      </xdr:nvSpPr>
      <xdr:spPr>
        <a:xfrm>
          <a:off x="0" y="28365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1631</xdr:row>
      <xdr:rowOff>0</xdr:rowOff>
    </xdr:from>
    <xdr:to>
      <xdr:col>0</xdr:col>
      <xdr:colOff>323850</xdr:colOff>
      <xdr:row>1632</xdr:row>
      <xdr:rowOff>120650</xdr:rowOff>
    </xdr:to>
    <xdr:sp macro="" textlink="">
      <xdr:nvSpPr>
        <xdr:cNvPr id="587" name="Frame 586">
          <a:extLst>
            <a:ext uri="{FF2B5EF4-FFF2-40B4-BE49-F238E27FC236}">
              <a16:creationId xmlns:a16="http://schemas.microsoft.com/office/drawing/2014/main" id="{E331CF06-C682-4708-A970-0BF02E833F96}"/>
            </a:ext>
          </a:extLst>
        </xdr:cNvPr>
        <xdr:cNvSpPr/>
      </xdr:nvSpPr>
      <xdr:spPr>
        <a:xfrm>
          <a:off x="0" y="28402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1633</xdr:row>
      <xdr:rowOff>0</xdr:rowOff>
    </xdr:from>
    <xdr:to>
      <xdr:col>0</xdr:col>
      <xdr:colOff>323850</xdr:colOff>
      <xdr:row>1634</xdr:row>
      <xdr:rowOff>120650</xdr:rowOff>
    </xdr:to>
    <xdr:sp macro="" textlink="">
      <xdr:nvSpPr>
        <xdr:cNvPr id="588" name="Frame 587">
          <a:extLst>
            <a:ext uri="{FF2B5EF4-FFF2-40B4-BE49-F238E27FC236}">
              <a16:creationId xmlns:a16="http://schemas.microsoft.com/office/drawing/2014/main" id="{47851D6E-412E-4D72-A9BE-5030D64E382C}"/>
            </a:ext>
          </a:extLst>
        </xdr:cNvPr>
        <xdr:cNvSpPr/>
      </xdr:nvSpPr>
      <xdr:spPr>
        <a:xfrm>
          <a:off x="0" y="28439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1635</xdr:row>
      <xdr:rowOff>0</xdr:rowOff>
    </xdr:from>
    <xdr:to>
      <xdr:col>0</xdr:col>
      <xdr:colOff>323850</xdr:colOff>
      <xdr:row>1636</xdr:row>
      <xdr:rowOff>120650</xdr:rowOff>
    </xdr:to>
    <xdr:sp macro="" textlink="">
      <xdr:nvSpPr>
        <xdr:cNvPr id="589" name="Frame 588">
          <a:extLst>
            <a:ext uri="{FF2B5EF4-FFF2-40B4-BE49-F238E27FC236}">
              <a16:creationId xmlns:a16="http://schemas.microsoft.com/office/drawing/2014/main" id="{468B6ED5-82E1-46C3-B542-AF93BE803402}"/>
            </a:ext>
          </a:extLst>
        </xdr:cNvPr>
        <xdr:cNvSpPr/>
      </xdr:nvSpPr>
      <xdr:spPr>
        <a:xfrm>
          <a:off x="0" y="28475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1637</xdr:row>
      <xdr:rowOff>0</xdr:rowOff>
    </xdr:from>
    <xdr:to>
      <xdr:col>0</xdr:col>
      <xdr:colOff>323850</xdr:colOff>
      <xdr:row>1638</xdr:row>
      <xdr:rowOff>120650</xdr:rowOff>
    </xdr:to>
    <xdr:sp macro="" textlink="">
      <xdr:nvSpPr>
        <xdr:cNvPr id="590" name="Frame 589">
          <a:extLst>
            <a:ext uri="{FF2B5EF4-FFF2-40B4-BE49-F238E27FC236}">
              <a16:creationId xmlns:a16="http://schemas.microsoft.com/office/drawing/2014/main" id="{21898A8D-0E0E-4A52-9F56-68AC375CBEDB}"/>
            </a:ext>
          </a:extLst>
        </xdr:cNvPr>
        <xdr:cNvSpPr/>
      </xdr:nvSpPr>
      <xdr:spPr>
        <a:xfrm>
          <a:off x="0" y="28512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1639</xdr:row>
      <xdr:rowOff>0</xdr:rowOff>
    </xdr:from>
    <xdr:to>
      <xdr:col>0</xdr:col>
      <xdr:colOff>323850</xdr:colOff>
      <xdr:row>1640</xdr:row>
      <xdr:rowOff>120650</xdr:rowOff>
    </xdr:to>
    <xdr:sp macro="" textlink="">
      <xdr:nvSpPr>
        <xdr:cNvPr id="591" name="Frame 590">
          <a:extLst>
            <a:ext uri="{FF2B5EF4-FFF2-40B4-BE49-F238E27FC236}">
              <a16:creationId xmlns:a16="http://schemas.microsoft.com/office/drawing/2014/main" id="{9920F8BF-9186-4D5B-B549-A76B62F52B39}"/>
            </a:ext>
          </a:extLst>
        </xdr:cNvPr>
        <xdr:cNvSpPr/>
      </xdr:nvSpPr>
      <xdr:spPr>
        <a:xfrm>
          <a:off x="0" y="28549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1649</xdr:row>
      <xdr:rowOff>0</xdr:rowOff>
    </xdr:from>
    <xdr:to>
      <xdr:col>0</xdr:col>
      <xdr:colOff>323850</xdr:colOff>
      <xdr:row>1650</xdr:row>
      <xdr:rowOff>120650</xdr:rowOff>
    </xdr:to>
    <xdr:sp macro="" textlink="">
      <xdr:nvSpPr>
        <xdr:cNvPr id="592" name="Frame 591">
          <a:extLst>
            <a:ext uri="{FF2B5EF4-FFF2-40B4-BE49-F238E27FC236}">
              <a16:creationId xmlns:a16="http://schemas.microsoft.com/office/drawing/2014/main" id="{C247E5D0-D74A-4A7C-BB78-43349855853A}"/>
            </a:ext>
          </a:extLst>
        </xdr:cNvPr>
        <xdr:cNvSpPr/>
      </xdr:nvSpPr>
      <xdr:spPr>
        <a:xfrm>
          <a:off x="0" y="287337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1651</xdr:row>
      <xdr:rowOff>0</xdr:rowOff>
    </xdr:from>
    <xdr:to>
      <xdr:col>0</xdr:col>
      <xdr:colOff>323850</xdr:colOff>
      <xdr:row>1652</xdr:row>
      <xdr:rowOff>120650</xdr:rowOff>
    </xdr:to>
    <xdr:sp macro="" textlink="">
      <xdr:nvSpPr>
        <xdr:cNvPr id="593" name="Frame 592">
          <a:extLst>
            <a:ext uri="{FF2B5EF4-FFF2-40B4-BE49-F238E27FC236}">
              <a16:creationId xmlns:a16="http://schemas.microsoft.com/office/drawing/2014/main" id="{B0424B49-550C-4E54-A27B-5C896DA07FB0}"/>
            </a:ext>
          </a:extLst>
        </xdr:cNvPr>
        <xdr:cNvSpPr/>
      </xdr:nvSpPr>
      <xdr:spPr>
        <a:xfrm>
          <a:off x="0" y="287705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1653</xdr:row>
      <xdr:rowOff>0</xdr:rowOff>
    </xdr:from>
    <xdr:to>
      <xdr:col>0</xdr:col>
      <xdr:colOff>323850</xdr:colOff>
      <xdr:row>1653</xdr:row>
      <xdr:rowOff>0</xdr:rowOff>
    </xdr:to>
    <xdr:sp macro="" textlink="">
      <xdr:nvSpPr>
        <xdr:cNvPr id="594" name="Frame 593">
          <a:extLst>
            <a:ext uri="{FF2B5EF4-FFF2-40B4-BE49-F238E27FC236}">
              <a16:creationId xmlns:a16="http://schemas.microsoft.com/office/drawing/2014/main" id="{20086427-8C31-4D18-9C6D-322357F94061}"/>
            </a:ext>
          </a:extLst>
        </xdr:cNvPr>
        <xdr:cNvSpPr/>
      </xdr:nvSpPr>
      <xdr:spPr>
        <a:xfrm>
          <a:off x="0" y="28807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1641</xdr:row>
      <xdr:rowOff>0</xdr:rowOff>
    </xdr:from>
    <xdr:to>
      <xdr:col>0</xdr:col>
      <xdr:colOff>323850</xdr:colOff>
      <xdr:row>1642</xdr:row>
      <xdr:rowOff>120650</xdr:rowOff>
    </xdr:to>
    <xdr:sp macro="" textlink="">
      <xdr:nvSpPr>
        <xdr:cNvPr id="596" name="Frame 595">
          <a:extLst>
            <a:ext uri="{FF2B5EF4-FFF2-40B4-BE49-F238E27FC236}">
              <a16:creationId xmlns:a16="http://schemas.microsoft.com/office/drawing/2014/main" id="{BCC8A21D-E90A-4E0E-BD96-B2192496E8CB}"/>
            </a:ext>
          </a:extLst>
        </xdr:cNvPr>
        <xdr:cNvSpPr/>
      </xdr:nvSpPr>
      <xdr:spPr>
        <a:xfrm>
          <a:off x="0" y="28586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1643</xdr:row>
      <xdr:rowOff>0</xdr:rowOff>
    </xdr:from>
    <xdr:to>
      <xdr:col>0</xdr:col>
      <xdr:colOff>323850</xdr:colOff>
      <xdr:row>1644</xdr:row>
      <xdr:rowOff>120650</xdr:rowOff>
    </xdr:to>
    <xdr:sp macro="" textlink="">
      <xdr:nvSpPr>
        <xdr:cNvPr id="597" name="Frame 596">
          <a:extLst>
            <a:ext uri="{FF2B5EF4-FFF2-40B4-BE49-F238E27FC236}">
              <a16:creationId xmlns:a16="http://schemas.microsoft.com/office/drawing/2014/main" id="{28E3954E-BE1B-4E90-AD53-FB94AE8BABF2}"/>
            </a:ext>
          </a:extLst>
        </xdr:cNvPr>
        <xdr:cNvSpPr/>
      </xdr:nvSpPr>
      <xdr:spPr>
        <a:xfrm>
          <a:off x="0" y="28623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1645</xdr:row>
      <xdr:rowOff>0</xdr:rowOff>
    </xdr:from>
    <xdr:to>
      <xdr:col>0</xdr:col>
      <xdr:colOff>323850</xdr:colOff>
      <xdr:row>1646</xdr:row>
      <xdr:rowOff>120650</xdr:rowOff>
    </xdr:to>
    <xdr:sp macro="" textlink="">
      <xdr:nvSpPr>
        <xdr:cNvPr id="598" name="Frame 597">
          <a:extLst>
            <a:ext uri="{FF2B5EF4-FFF2-40B4-BE49-F238E27FC236}">
              <a16:creationId xmlns:a16="http://schemas.microsoft.com/office/drawing/2014/main" id="{B52EBC57-C091-4EE1-AF62-E12CDD328A46}"/>
            </a:ext>
          </a:extLst>
        </xdr:cNvPr>
        <xdr:cNvSpPr/>
      </xdr:nvSpPr>
      <xdr:spPr>
        <a:xfrm>
          <a:off x="0" y="28660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1647</xdr:row>
      <xdr:rowOff>0</xdr:rowOff>
    </xdr:from>
    <xdr:to>
      <xdr:col>0</xdr:col>
      <xdr:colOff>323850</xdr:colOff>
      <xdr:row>1648</xdr:row>
      <xdr:rowOff>120650</xdr:rowOff>
    </xdr:to>
    <xdr:sp macro="" textlink="">
      <xdr:nvSpPr>
        <xdr:cNvPr id="599" name="Frame 598">
          <a:extLst>
            <a:ext uri="{FF2B5EF4-FFF2-40B4-BE49-F238E27FC236}">
              <a16:creationId xmlns:a16="http://schemas.microsoft.com/office/drawing/2014/main" id="{B3A29611-3786-47B3-8AB7-E22EEB85575A}"/>
            </a:ext>
          </a:extLst>
        </xdr:cNvPr>
        <xdr:cNvSpPr/>
      </xdr:nvSpPr>
      <xdr:spPr>
        <a:xfrm>
          <a:off x="0" y="28696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1665</xdr:row>
      <xdr:rowOff>177800</xdr:rowOff>
    </xdr:from>
    <xdr:to>
      <xdr:col>0</xdr:col>
      <xdr:colOff>330200</xdr:colOff>
      <xdr:row>1667</xdr:row>
      <xdr:rowOff>114300</xdr:rowOff>
    </xdr:to>
    <xdr:sp macro="" textlink="">
      <xdr:nvSpPr>
        <xdr:cNvPr id="601" name="Frame 600">
          <a:extLst>
            <a:ext uri="{FF2B5EF4-FFF2-40B4-BE49-F238E27FC236}">
              <a16:creationId xmlns:a16="http://schemas.microsoft.com/office/drawing/2014/main" id="{BA7C4296-DA60-42F8-B901-2C55B692840D}"/>
            </a:ext>
          </a:extLst>
        </xdr:cNvPr>
        <xdr:cNvSpPr/>
      </xdr:nvSpPr>
      <xdr:spPr>
        <a:xfrm>
          <a:off x="6350" y="29174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1668</xdr:row>
      <xdr:rowOff>0</xdr:rowOff>
    </xdr:from>
    <xdr:to>
      <xdr:col>0</xdr:col>
      <xdr:colOff>323850</xdr:colOff>
      <xdr:row>1669</xdr:row>
      <xdr:rowOff>120650</xdr:rowOff>
    </xdr:to>
    <xdr:sp macro="" textlink="">
      <xdr:nvSpPr>
        <xdr:cNvPr id="602" name="Frame 601">
          <a:extLst>
            <a:ext uri="{FF2B5EF4-FFF2-40B4-BE49-F238E27FC236}">
              <a16:creationId xmlns:a16="http://schemas.microsoft.com/office/drawing/2014/main" id="{7590CE03-F31D-4B63-B955-5E759CE5BA0A}"/>
            </a:ext>
          </a:extLst>
        </xdr:cNvPr>
        <xdr:cNvSpPr/>
      </xdr:nvSpPr>
      <xdr:spPr>
        <a:xfrm>
          <a:off x="0" y="29211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1670</xdr:row>
      <xdr:rowOff>0</xdr:rowOff>
    </xdr:from>
    <xdr:to>
      <xdr:col>0</xdr:col>
      <xdr:colOff>323850</xdr:colOff>
      <xdr:row>1671</xdr:row>
      <xdr:rowOff>120650</xdr:rowOff>
    </xdr:to>
    <xdr:sp macro="" textlink="">
      <xdr:nvSpPr>
        <xdr:cNvPr id="603" name="Frame 602">
          <a:extLst>
            <a:ext uri="{FF2B5EF4-FFF2-40B4-BE49-F238E27FC236}">
              <a16:creationId xmlns:a16="http://schemas.microsoft.com/office/drawing/2014/main" id="{BB13EC3F-D685-43E4-9E3D-1C89C1B19134}"/>
            </a:ext>
          </a:extLst>
        </xdr:cNvPr>
        <xdr:cNvSpPr/>
      </xdr:nvSpPr>
      <xdr:spPr>
        <a:xfrm>
          <a:off x="0" y="29248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1672</xdr:row>
      <xdr:rowOff>0</xdr:rowOff>
    </xdr:from>
    <xdr:to>
      <xdr:col>0</xdr:col>
      <xdr:colOff>323850</xdr:colOff>
      <xdr:row>1673</xdr:row>
      <xdr:rowOff>120650</xdr:rowOff>
    </xdr:to>
    <xdr:sp macro="" textlink="">
      <xdr:nvSpPr>
        <xdr:cNvPr id="604" name="Frame 603">
          <a:extLst>
            <a:ext uri="{FF2B5EF4-FFF2-40B4-BE49-F238E27FC236}">
              <a16:creationId xmlns:a16="http://schemas.microsoft.com/office/drawing/2014/main" id="{7D881551-568A-4134-9E1F-3599639A5533}"/>
            </a:ext>
          </a:extLst>
        </xdr:cNvPr>
        <xdr:cNvSpPr/>
      </xdr:nvSpPr>
      <xdr:spPr>
        <a:xfrm>
          <a:off x="0" y="29285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1674</xdr:row>
      <xdr:rowOff>0</xdr:rowOff>
    </xdr:from>
    <xdr:to>
      <xdr:col>0</xdr:col>
      <xdr:colOff>323850</xdr:colOff>
      <xdr:row>1675</xdr:row>
      <xdr:rowOff>120650</xdr:rowOff>
    </xdr:to>
    <xdr:sp macro="" textlink="">
      <xdr:nvSpPr>
        <xdr:cNvPr id="605" name="Frame 604">
          <a:extLst>
            <a:ext uri="{FF2B5EF4-FFF2-40B4-BE49-F238E27FC236}">
              <a16:creationId xmlns:a16="http://schemas.microsoft.com/office/drawing/2014/main" id="{03899CFD-500B-484C-9506-E5F7B553050F}"/>
            </a:ext>
          </a:extLst>
        </xdr:cNvPr>
        <xdr:cNvSpPr/>
      </xdr:nvSpPr>
      <xdr:spPr>
        <a:xfrm>
          <a:off x="0" y="29322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1676</xdr:row>
      <xdr:rowOff>0</xdr:rowOff>
    </xdr:from>
    <xdr:to>
      <xdr:col>0</xdr:col>
      <xdr:colOff>323850</xdr:colOff>
      <xdr:row>1677</xdr:row>
      <xdr:rowOff>120650</xdr:rowOff>
    </xdr:to>
    <xdr:sp macro="" textlink="">
      <xdr:nvSpPr>
        <xdr:cNvPr id="606" name="Frame 605">
          <a:extLst>
            <a:ext uri="{FF2B5EF4-FFF2-40B4-BE49-F238E27FC236}">
              <a16:creationId xmlns:a16="http://schemas.microsoft.com/office/drawing/2014/main" id="{26032666-1511-4676-93DA-CEF6EC43039F}"/>
            </a:ext>
          </a:extLst>
        </xdr:cNvPr>
        <xdr:cNvSpPr/>
      </xdr:nvSpPr>
      <xdr:spPr>
        <a:xfrm>
          <a:off x="0" y="29359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1678</xdr:row>
      <xdr:rowOff>0</xdr:rowOff>
    </xdr:from>
    <xdr:to>
      <xdr:col>0</xdr:col>
      <xdr:colOff>323850</xdr:colOff>
      <xdr:row>1679</xdr:row>
      <xdr:rowOff>120650</xdr:rowOff>
    </xdr:to>
    <xdr:sp macro="" textlink="">
      <xdr:nvSpPr>
        <xdr:cNvPr id="607" name="Frame 606">
          <a:extLst>
            <a:ext uri="{FF2B5EF4-FFF2-40B4-BE49-F238E27FC236}">
              <a16:creationId xmlns:a16="http://schemas.microsoft.com/office/drawing/2014/main" id="{8F688C01-D8EF-46E6-88C3-DB1DED8FFDC0}"/>
            </a:ext>
          </a:extLst>
        </xdr:cNvPr>
        <xdr:cNvSpPr/>
      </xdr:nvSpPr>
      <xdr:spPr>
        <a:xfrm>
          <a:off x="0" y="29396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1680</xdr:row>
      <xdr:rowOff>0</xdr:rowOff>
    </xdr:from>
    <xdr:to>
      <xdr:col>0</xdr:col>
      <xdr:colOff>323850</xdr:colOff>
      <xdr:row>1681</xdr:row>
      <xdr:rowOff>120650</xdr:rowOff>
    </xdr:to>
    <xdr:sp macro="" textlink="">
      <xdr:nvSpPr>
        <xdr:cNvPr id="608" name="Frame 607">
          <a:extLst>
            <a:ext uri="{FF2B5EF4-FFF2-40B4-BE49-F238E27FC236}">
              <a16:creationId xmlns:a16="http://schemas.microsoft.com/office/drawing/2014/main" id="{4CC8B933-B144-44E5-BA95-A803724232E4}"/>
            </a:ext>
          </a:extLst>
        </xdr:cNvPr>
        <xdr:cNvSpPr/>
      </xdr:nvSpPr>
      <xdr:spPr>
        <a:xfrm>
          <a:off x="0" y="29432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1682</xdr:row>
      <xdr:rowOff>0</xdr:rowOff>
    </xdr:from>
    <xdr:to>
      <xdr:col>0</xdr:col>
      <xdr:colOff>323850</xdr:colOff>
      <xdr:row>1683</xdr:row>
      <xdr:rowOff>120650</xdr:rowOff>
    </xdr:to>
    <xdr:sp macro="" textlink="">
      <xdr:nvSpPr>
        <xdr:cNvPr id="609" name="Frame 608">
          <a:extLst>
            <a:ext uri="{FF2B5EF4-FFF2-40B4-BE49-F238E27FC236}">
              <a16:creationId xmlns:a16="http://schemas.microsoft.com/office/drawing/2014/main" id="{8D14CFD5-4F46-42E6-B333-C271921FB565}"/>
            </a:ext>
          </a:extLst>
        </xdr:cNvPr>
        <xdr:cNvSpPr/>
      </xdr:nvSpPr>
      <xdr:spPr>
        <a:xfrm>
          <a:off x="0" y="29469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1684</xdr:row>
      <xdr:rowOff>0</xdr:rowOff>
    </xdr:from>
    <xdr:to>
      <xdr:col>0</xdr:col>
      <xdr:colOff>323850</xdr:colOff>
      <xdr:row>1685</xdr:row>
      <xdr:rowOff>120650</xdr:rowOff>
    </xdr:to>
    <xdr:sp macro="" textlink="">
      <xdr:nvSpPr>
        <xdr:cNvPr id="610" name="Frame 609">
          <a:extLst>
            <a:ext uri="{FF2B5EF4-FFF2-40B4-BE49-F238E27FC236}">
              <a16:creationId xmlns:a16="http://schemas.microsoft.com/office/drawing/2014/main" id="{A01D7A6B-EF4D-4FC0-A7DF-16F1C4AE22FA}"/>
            </a:ext>
          </a:extLst>
        </xdr:cNvPr>
        <xdr:cNvSpPr/>
      </xdr:nvSpPr>
      <xdr:spPr>
        <a:xfrm>
          <a:off x="0" y="29506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1686</xdr:row>
      <xdr:rowOff>0</xdr:rowOff>
    </xdr:from>
    <xdr:to>
      <xdr:col>0</xdr:col>
      <xdr:colOff>323850</xdr:colOff>
      <xdr:row>1687</xdr:row>
      <xdr:rowOff>120650</xdr:rowOff>
    </xdr:to>
    <xdr:sp macro="" textlink="">
      <xdr:nvSpPr>
        <xdr:cNvPr id="611" name="Frame 610">
          <a:extLst>
            <a:ext uri="{FF2B5EF4-FFF2-40B4-BE49-F238E27FC236}">
              <a16:creationId xmlns:a16="http://schemas.microsoft.com/office/drawing/2014/main" id="{72611BA9-0CDC-4DAE-923E-EAC0F6613ED8}"/>
            </a:ext>
          </a:extLst>
        </xdr:cNvPr>
        <xdr:cNvSpPr/>
      </xdr:nvSpPr>
      <xdr:spPr>
        <a:xfrm>
          <a:off x="0" y="29543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1688</xdr:row>
      <xdr:rowOff>0</xdr:rowOff>
    </xdr:from>
    <xdr:to>
      <xdr:col>0</xdr:col>
      <xdr:colOff>323850</xdr:colOff>
      <xdr:row>1689</xdr:row>
      <xdr:rowOff>120650</xdr:rowOff>
    </xdr:to>
    <xdr:sp macro="" textlink="">
      <xdr:nvSpPr>
        <xdr:cNvPr id="612" name="Frame 611">
          <a:extLst>
            <a:ext uri="{FF2B5EF4-FFF2-40B4-BE49-F238E27FC236}">
              <a16:creationId xmlns:a16="http://schemas.microsoft.com/office/drawing/2014/main" id="{5BE97B83-5AF7-4282-8FE7-BF8D52E9FB2A}"/>
            </a:ext>
          </a:extLst>
        </xdr:cNvPr>
        <xdr:cNvSpPr/>
      </xdr:nvSpPr>
      <xdr:spPr>
        <a:xfrm>
          <a:off x="0" y="29580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1690</xdr:row>
      <xdr:rowOff>0</xdr:rowOff>
    </xdr:from>
    <xdr:to>
      <xdr:col>0</xdr:col>
      <xdr:colOff>323850</xdr:colOff>
      <xdr:row>1691</xdr:row>
      <xdr:rowOff>120650</xdr:rowOff>
    </xdr:to>
    <xdr:sp macro="" textlink="">
      <xdr:nvSpPr>
        <xdr:cNvPr id="613" name="Frame 612">
          <a:extLst>
            <a:ext uri="{FF2B5EF4-FFF2-40B4-BE49-F238E27FC236}">
              <a16:creationId xmlns:a16="http://schemas.microsoft.com/office/drawing/2014/main" id="{29248878-CD8C-4E89-B8C7-BA4AF5338DA5}"/>
            </a:ext>
          </a:extLst>
        </xdr:cNvPr>
        <xdr:cNvSpPr/>
      </xdr:nvSpPr>
      <xdr:spPr>
        <a:xfrm>
          <a:off x="0" y="29617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1692</xdr:row>
      <xdr:rowOff>0</xdr:rowOff>
    </xdr:from>
    <xdr:to>
      <xdr:col>0</xdr:col>
      <xdr:colOff>323850</xdr:colOff>
      <xdr:row>1693</xdr:row>
      <xdr:rowOff>120650</xdr:rowOff>
    </xdr:to>
    <xdr:sp macro="" textlink="">
      <xdr:nvSpPr>
        <xdr:cNvPr id="617" name="Frame 616">
          <a:extLst>
            <a:ext uri="{FF2B5EF4-FFF2-40B4-BE49-F238E27FC236}">
              <a16:creationId xmlns:a16="http://schemas.microsoft.com/office/drawing/2014/main" id="{848BDB5B-6BCF-4BB5-A4AB-26644158CA87}"/>
            </a:ext>
          </a:extLst>
        </xdr:cNvPr>
        <xdr:cNvSpPr/>
      </xdr:nvSpPr>
      <xdr:spPr>
        <a:xfrm>
          <a:off x="0" y="296538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1694</xdr:row>
      <xdr:rowOff>0</xdr:rowOff>
    </xdr:from>
    <xdr:to>
      <xdr:col>0</xdr:col>
      <xdr:colOff>323850</xdr:colOff>
      <xdr:row>1695</xdr:row>
      <xdr:rowOff>120650</xdr:rowOff>
    </xdr:to>
    <xdr:sp macro="" textlink="">
      <xdr:nvSpPr>
        <xdr:cNvPr id="618" name="Frame 617">
          <a:extLst>
            <a:ext uri="{FF2B5EF4-FFF2-40B4-BE49-F238E27FC236}">
              <a16:creationId xmlns:a16="http://schemas.microsoft.com/office/drawing/2014/main" id="{FA3D5B4D-0433-4E04-90E4-5E94BFB721C7}"/>
            </a:ext>
          </a:extLst>
        </xdr:cNvPr>
        <xdr:cNvSpPr/>
      </xdr:nvSpPr>
      <xdr:spPr>
        <a:xfrm>
          <a:off x="0" y="296906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1709</xdr:row>
      <xdr:rowOff>177800</xdr:rowOff>
    </xdr:from>
    <xdr:to>
      <xdr:col>0</xdr:col>
      <xdr:colOff>330200</xdr:colOff>
      <xdr:row>1711</xdr:row>
      <xdr:rowOff>114300</xdr:rowOff>
    </xdr:to>
    <xdr:sp macro="" textlink="">
      <xdr:nvSpPr>
        <xdr:cNvPr id="621" name="Frame 620">
          <a:extLst>
            <a:ext uri="{FF2B5EF4-FFF2-40B4-BE49-F238E27FC236}">
              <a16:creationId xmlns:a16="http://schemas.microsoft.com/office/drawing/2014/main" id="{788FB56E-454E-4631-936C-F6D45C9B9A6C}"/>
            </a:ext>
          </a:extLst>
        </xdr:cNvPr>
        <xdr:cNvSpPr/>
      </xdr:nvSpPr>
      <xdr:spPr>
        <a:xfrm>
          <a:off x="6350" y="26156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1712</xdr:row>
      <xdr:rowOff>0</xdr:rowOff>
    </xdr:from>
    <xdr:to>
      <xdr:col>0</xdr:col>
      <xdr:colOff>323850</xdr:colOff>
      <xdr:row>1713</xdr:row>
      <xdr:rowOff>120650</xdr:rowOff>
    </xdr:to>
    <xdr:sp macro="" textlink="">
      <xdr:nvSpPr>
        <xdr:cNvPr id="622" name="Frame 621">
          <a:extLst>
            <a:ext uri="{FF2B5EF4-FFF2-40B4-BE49-F238E27FC236}">
              <a16:creationId xmlns:a16="http://schemas.microsoft.com/office/drawing/2014/main" id="{3BF27EED-3E35-4562-83FA-0721E8D9655C}"/>
            </a:ext>
          </a:extLst>
        </xdr:cNvPr>
        <xdr:cNvSpPr/>
      </xdr:nvSpPr>
      <xdr:spPr>
        <a:xfrm>
          <a:off x="0" y="26194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1714</xdr:row>
      <xdr:rowOff>0</xdr:rowOff>
    </xdr:from>
    <xdr:to>
      <xdr:col>0</xdr:col>
      <xdr:colOff>323850</xdr:colOff>
      <xdr:row>1715</xdr:row>
      <xdr:rowOff>120650</xdr:rowOff>
    </xdr:to>
    <xdr:sp macro="" textlink="">
      <xdr:nvSpPr>
        <xdr:cNvPr id="623" name="Frame 622">
          <a:extLst>
            <a:ext uri="{FF2B5EF4-FFF2-40B4-BE49-F238E27FC236}">
              <a16:creationId xmlns:a16="http://schemas.microsoft.com/office/drawing/2014/main" id="{D0C95B8C-E664-47D7-842C-EB2FC716ADFE}"/>
            </a:ext>
          </a:extLst>
        </xdr:cNvPr>
        <xdr:cNvSpPr/>
      </xdr:nvSpPr>
      <xdr:spPr>
        <a:xfrm>
          <a:off x="0" y="26231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1716</xdr:row>
      <xdr:rowOff>0</xdr:rowOff>
    </xdr:from>
    <xdr:to>
      <xdr:col>0</xdr:col>
      <xdr:colOff>323850</xdr:colOff>
      <xdr:row>1717</xdr:row>
      <xdr:rowOff>120650</xdr:rowOff>
    </xdr:to>
    <xdr:sp macro="" textlink="">
      <xdr:nvSpPr>
        <xdr:cNvPr id="624" name="Frame 623">
          <a:extLst>
            <a:ext uri="{FF2B5EF4-FFF2-40B4-BE49-F238E27FC236}">
              <a16:creationId xmlns:a16="http://schemas.microsoft.com/office/drawing/2014/main" id="{BA6517DD-1BCD-4757-9A8A-F72EA7A7B2F7}"/>
            </a:ext>
          </a:extLst>
        </xdr:cNvPr>
        <xdr:cNvSpPr/>
      </xdr:nvSpPr>
      <xdr:spPr>
        <a:xfrm>
          <a:off x="0" y="26268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1718</xdr:row>
      <xdr:rowOff>0</xdr:rowOff>
    </xdr:from>
    <xdr:to>
      <xdr:col>0</xdr:col>
      <xdr:colOff>323850</xdr:colOff>
      <xdr:row>1719</xdr:row>
      <xdr:rowOff>120650</xdr:rowOff>
    </xdr:to>
    <xdr:sp macro="" textlink="">
      <xdr:nvSpPr>
        <xdr:cNvPr id="625" name="Frame 624">
          <a:extLst>
            <a:ext uri="{FF2B5EF4-FFF2-40B4-BE49-F238E27FC236}">
              <a16:creationId xmlns:a16="http://schemas.microsoft.com/office/drawing/2014/main" id="{A2BE6054-223F-4110-BD30-8043D9763829}"/>
            </a:ext>
          </a:extLst>
        </xdr:cNvPr>
        <xdr:cNvSpPr/>
      </xdr:nvSpPr>
      <xdr:spPr>
        <a:xfrm>
          <a:off x="0" y="26304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1720</xdr:row>
      <xdr:rowOff>0</xdr:rowOff>
    </xdr:from>
    <xdr:to>
      <xdr:col>0</xdr:col>
      <xdr:colOff>323850</xdr:colOff>
      <xdr:row>1721</xdr:row>
      <xdr:rowOff>120650</xdr:rowOff>
    </xdr:to>
    <xdr:sp macro="" textlink="">
      <xdr:nvSpPr>
        <xdr:cNvPr id="626" name="Frame 625">
          <a:extLst>
            <a:ext uri="{FF2B5EF4-FFF2-40B4-BE49-F238E27FC236}">
              <a16:creationId xmlns:a16="http://schemas.microsoft.com/office/drawing/2014/main" id="{F56C83A8-286E-4BDC-8AB5-4039B8EC944B}"/>
            </a:ext>
          </a:extLst>
        </xdr:cNvPr>
        <xdr:cNvSpPr/>
      </xdr:nvSpPr>
      <xdr:spPr>
        <a:xfrm>
          <a:off x="0" y="26341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1722</xdr:row>
      <xdr:rowOff>0</xdr:rowOff>
    </xdr:from>
    <xdr:to>
      <xdr:col>0</xdr:col>
      <xdr:colOff>323850</xdr:colOff>
      <xdr:row>1723</xdr:row>
      <xdr:rowOff>120650</xdr:rowOff>
    </xdr:to>
    <xdr:sp macro="" textlink="">
      <xdr:nvSpPr>
        <xdr:cNvPr id="627" name="Frame 626">
          <a:extLst>
            <a:ext uri="{FF2B5EF4-FFF2-40B4-BE49-F238E27FC236}">
              <a16:creationId xmlns:a16="http://schemas.microsoft.com/office/drawing/2014/main" id="{963538C2-7D9A-4641-A07C-693EBAD8E699}"/>
            </a:ext>
          </a:extLst>
        </xdr:cNvPr>
        <xdr:cNvSpPr/>
      </xdr:nvSpPr>
      <xdr:spPr>
        <a:xfrm>
          <a:off x="0" y="26378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1724</xdr:row>
      <xdr:rowOff>0</xdr:rowOff>
    </xdr:from>
    <xdr:to>
      <xdr:col>0</xdr:col>
      <xdr:colOff>323850</xdr:colOff>
      <xdr:row>1725</xdr:row>
      <xdr:rowOff>120650</xdr:rowOff>
    </xdr:to>
    <xdr:sp macro="" textlink="">
      <xdr:nvSpPr>
        <xdr:cNvPr id="628" name="Frame 627">
          <a:extLst>
            <a:ext uri="{FF2B5EF4-FFF2-40B4-BE49-F238E27FC236}">
              <a16:creationId xmlns:a16="http://schemas.microsoft.com/office/drawing/2014/main" id="{B18E9931-DC05-403B-96B0-AEAC8012BD20}"/>
            </a:ext>
          </a:extLst>
        </xdr:cNvPr>
        <xdr:cNvSpPr/>
      </xdr:nvSpPr>
      <xdr:spPr>
        <a:xfrm>
          <a:off x="0" y="26415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1726</xdr:row>
      <xdr:rowOff>0</xdr:rowOff>
    </xdr:from>
    <xdr:to>
      <xdr:col>0</xdr:col>
      <xdr:colOff>323850</xdr:colOff>
      <xdr:row>1727</xdr:row>
      <xdr:rowOff>120650</xdr:rowOff>
    </xdr:to>
    <xdr:sp macro="" textlink="">
      <xdr:nvSpPr>
        <xdr:cNvPr id="629" name="Frame 628">
          <a:extLst>
            <a:ext uri="{FF2B5EF4-FFF2-40B4-BE49-F238E27FC236}">
              <a16:creationId xmlns:a16="http://schemas.microsoft.com/office/drawing/2014/main" id="{FB508623-CCAD-48ED-B053-35C8082B50FB}"/>
            </a:ext>
          </a:extLst>
        </xdr:cNvPr>
        <xdr:cNvSpPr/>
      </xdr:nvSpPr>
      <xdr:spPr>
        <a:xfrm>
          <a:off x="0" y="26452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1728</xdr:row>
      <xdr:rowOff>0</xdr:rowOff>
    </xdr:from>
    <xdr:to>
      <xdr:col>0</xdr:col>
      <xdr:colOff>323850</xdr:colOff>
      <xdr:row>1729</xdr:row>
      <xdr:rowOff>120650</xdr:rowOff>
    </xdr:to>
    <xdr:sp macro="" textlink="">
      <xdr:nvSpPr>
        <xdr:cNvPr id="630" name="Frame 629">
          <a:extLst>
            <a:ext uri="{FF2B5EF4-FFF2-40B4-BE49-F238E27FC236}">
              <a16:creationId xmlns:a16="http://schemas.microsoft.com/office/drawing/2014/main" id="{1EBCFE37-8239-4D6F-8662-72B387340697}"/>
            </a:ext>
          </a:extLst>
        </xdr:cNvPr>
        <xdr:cNvSpPr/>
      </xdr:nvSpPr>
      <xdr:spPr>
        <a:xfrm>
          <a:off x="0" y="26489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1730</xdr:row>
      <xdr:rowOff>0</xdr:rowOff>
    </xdr:from>
    <xdr:to>
      <xdr:col>0</xdr:col>
      <xdr:colOff>323850</xdr:colOff>
      <xdr:row>1731</xdr:row>
      <xdr:rowOff>120650</xdr:rowOff>
    </xdr:to>
    <xdr:sp macro="" textlink="">
      <xdr:nvSpPr>
        <xdr:cNvPr id="631" name="Frame 630">
          <a:extLst>
            <a:ext uri="{FF2B5EF4-FFF2-40B4-BE49-F238E27FC236}">
              <a16:creationId xmlns:a16="http://schemas.microsoft.com/office/drawing/2014/main" id="{5C21CA2B-41C7-4D70-B09B-B70A95347630}"/>
            </a:ext>
          </a:extLst>
        </xdr:cNvPr>
        <xdr:cNvSpPr/>
      </xdr:nvSpPr>
      <xdr:spPr>
        <a:xfrm>
          <a:off x="0" y="26525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1745</xdr:row>
      <xdr:rowOff>177800</xdr:rowOff>
    </xdr:from>
    <xdr:to>
      <xdr:col>0</xdr:col>
      <xdr:colOff>330200</xdr:colOff>
      <xdr:row>1747</xdr:row>
      <xdr:rowOff>114300</xdr:rowOff>
    </xdr:to>
    <xdr:sp macro="" textlink="">
      <xdr:nvSpPr>
        <xdr:cNvPr id="638" name="Frame 637">
          <a:extLst>
            <a:ext uri="{FF2B5EF4-FFF2-40B4-BE49-F238E27FC236}">
              <a16:creationId xmlns:a16="http://schemas.microsoft.com/office/drawing/2014/main" id="{F8EFFFE8-0856-4453-A092-897EBD8915AB}"/>
            </a:ext>
          </a:extLst>
        </xdr:cNvPr>
        <xdr:cNvSpPr/>
      </xdr:nvSpPr>
      <xdr:spPr>
        <a:xfrm>
          <a:off x="6350" y="30977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1748</xdr:row>
      <xdr:rowOff>0</xdr:rowOff>
    </xdr:from>
    <xdr:to>
      <xdr:col>0</xdr:col>
      <xdr:colOff>323850</xdr:colOff>
      <xdr:row>1749</xdr:row>
      <xdr:rowOff>120650</xdr:rowOff>
    </xdr:to>
    <xdr:sp macro="" textlink="">
      <xdr:nvSpPr>
        <xdr:cNvPr id="639" name="Frame 638">
          <a:extLst>
            <a:ext uri="{FF2B5EF4-FFF2-40B4-BE49-F238E27FC236}">
              <a16:creationId xmlns:a16="http://schemas.microsoft.com/office/drawing/2014/main" id="{5A299D39-07A4-4417-8AF2-86D9C07741F4}"/>
            </a:ext>
          </a:extLst>
        </xdr:cNvPr>
        <xdr:cNvSpPr/>
      </xdr:nvSpPr>
      <xdr:spPr>
        <a:xfrm>
          <a:off x="0" y="31015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1777</xdr:row>
      <xdr:rowOff>177800</xdr:rowOff>
    </xdr:from>
    <xdr:to>
      <xdr:col>0</xdr:col>
      <xdr:colOff>330200</xdr:colOff>
      <xdr:row>1779</xdr:row>
      <xdr:rowOff>114300</xdr:rowOff>
    </xdr:to>
    <xdr:sp macro="" textlink="">
      <xdr:nvSpPr>
        <xdr:cNvPr id="649" name="Frame 648">
          <a:extLst>
            <a:ext uri="{FF2B5EF4-FFF2-40B4-BE49-F238E27FC236}">
              <a16:creationId xmlns:a16="http://schemas.microsoft.com/office/drawing/2014/main" id="{712CADE2-2502-4F15-BE37-0AFF8D6720B5}"/>
            </a:ext>
          </a:extLst>
        </xdr:cNvPr>
        <xdr:cNvSpPr/>
      </xdr:nvSpPr>
      <xdr:spPr>
        <a:xfrm>
          <a:off x="6350" y="30977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1780</xdr:row>
      <xdr:rowOff>0</xdr:rowOff>
    </xdr:from>
    <xdr:to>
      <xdr:col>0</xdr:col>
      <xdr:colOff>323850</xdr:colOff>
      <xdr:row>1781</xdr:row>
      <xdr:rowOff>120650</xdr:rowOff>
    </xdr:to>
    <xdr:sp macro="" textlink="">
      <xdr:nvSpPr>
        <xdr:cNvPr id="650" name="Frame 649">
          <a:extLst>
            <a:ext uri="{FF2B5EF4-FFF2-40B4-BE49-F238E27FC236}">
              <a16:creationId xmlns:a16="http://schemas.microsoft.com/office/drawing/2014/main" id="{CEA74254-FBC9-411D-B96A-F19A0C357F38}"/>
            </a:ext>
          </a:extLst>
        </xdr:cNvPr>
        <xdr:cNvSpPr/>
      </xdr:nvSpPr>
      <xdr:spPr>
        <a:xfrm>
          <a:off x="0" y="31015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1782</xdr:row>
      <xdr:rowOff>0</xdr:rowOff>
    </xdr:from>
    <xdr:to>
      <xdr:col>0</xdr:col>
      <xdr:colOff>323850</xdr:colOff>
      <xdr:row>1783</xdr:row>
      <xdr:rowOff>120650</xdr:rowOff>
    </xdr:to>
    <xdr:sp macro="" textlink="">
      <xdr:nvSpPr>
        <xdr:cNvPr id="651" name="Frame 650">
          <a:extLst>
            <a:ext uri="{FF2B5EF4-FFF2-40B4-BE49-F238E27FC236}">
              <a16:creationId xmlns:a16="http://schemas.microsoft.com/office/drawing/2014/main" id="{CF308D22-4865-4C8C-AF96-59ACEEAA6F8A}"/>
            </a:ext>
          </a:extLst>
        </xdr:cNvPr>
        <xdr:cNvSpPr/>
      </xdr:nvSpPr>
      <xdr:spPr>
        <a:xfrm>
          <a:off x="0" y="310521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1784</xdr:row>
      <xdr:rowOff>0</xdr:rowOff>
    </xdr:from>
    <xdr:to>
      <xdr:col>0</xdr:col>
      <xdr:colOff>323850</xdr:colOff>
      <xdr:row>1785</xdr:row>
      <xdr:rowOff>120650</xdr:rowOff>
    </xdr:to>
    <xdr:sp macro="" textlink="">
      <xdr:nvSpPr>
        <xdr:cNvPr id="652" name="Frame 651">
          <a:extLst>
            <a:ext uri="{FF2B5EF4-FFF2-40B4-BE49-F238E27FC236}">
              <a16:creationId xmlns:a16="http://schemas.microsoft.com/office/drawing/2014/main" id="{EE141B2F-12AD-493F-BD5B-E78033D74113}"/>
            </a:ext>
          </a:extLst>
        </xdr:cNvPr>
        <xdr:cNvSpPr/>
      </xdr:nvSpPr>
      <xdr:spPr>
        <a:xfrm>
          <a:off x="0" y="310889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1786</xdr:row>
      <xdr:rowOff>0</xdr:rowOff>
    </xdr:from>
    <xdr:to>
      <xdr:col>0</xdr:col>
      <xdr:colOff>323850</xdr:colOff>
      <xdr:row>1787</xdr:row>
      <xdr:rowOff>120650</xdr:rowOff>
    </xdr:to>
    <xdr:sp macro="" textlink="">
      <xdr:nvSpPr>
        <xdr:cNvPr id="653" name="Frame 652">
          <a:extLst>
            <a:ext uri="{FF2B5EF4-FFF2-40B4-BE49-F238E27FC236}">
              <a16:creationId xmlns:a16="http://schemas.microsoft.com/office/drawing/2014/main" id="{C4E6D343-1ADC-482B-8491-2D0988B2F949}"/>
            </a:ext>
          </a:extLst>
        </xdr:cNvPr>
        <xdr:cNvSpPr/>
      </xdr:nvSpPr>
      <xdr:spPr>
        <a:xfrm>
          <a:off x="0" y="311257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1788</xdr:row>
      <xdr:rowOff>0</xdr:rowOff>
    </xdr:from>
    <xdr:to>
      <xdr:col>0</xdr:col>
      <xdr:colOff>323850</xdr:colOff>
      <xdr:row>1789</xdr:row>
      <xdr:rowOff>120650</xdr:rowOff>
    </xdr:to>
    <xdr:sp macro="" textlink="">
      <xdr:nvSpPr>
        <xdr:cNvPr id="654" name="Frame 653">
          <a:extLst>
            <a:ext uri="{FF2B5EF4-FFF2-40B4-BE49-F238E27FC236}">
              <a16:creationId xmlns:a16="http://schemas.microsoft.com/office/drawing/2014/main" id="{B4F36A85-FC5A-4385-AB22-CFDF9E3FD5BB}"/>
            </a:ext>
          </a:extLst>
        </xdr:cNvPr>
        <xdr:cNvSpPr/>
      </xdr:nvSpPr>
      <xdr:spPr>
        <a:xfrm>
          <a:off x="0" y="311626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1790</xdr:row>
      <xdr:rowOff>0</xdr:rowOff>
    </xdr:from>
    <xdr:to>
      <xdr:col>0</xdr:col>
      <xdr:colOff>323850</xdr:colOff>
      <xdr:row>1791</xdr:row>
      <xdr:rowOff>120650</xdr:rowOff>
    </xdr:to>
    <xdr:sp macro="" textlink="">
      <xdr:nvSpPr>
        <xdr:cNvPr id="655" name="Frame 654">
          <a:extLst>
            <a:ext uri="{FF2B5EF4-FFF2-40B4-BE49-F238E27FC236}">
              <a16:creationId xmlns:a16="http://schemas.microsoft.com/office/drawing/2014/main" id="{D3E19B85-871E-4F8B-BB32-8FAC35434708}"/>
            </a:ext>
          </a:extLst>
        </xdr:cNvPr>
        <xdr:cNvSpPr/>
      </xdr:nvSpPr>
      <xdr:spPr>
        <a:xfrm>
          <a:off x="0" y="31199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1792</xdr:row>
      <xdr:rowOff>0</xdr:rowOff>
    </xdr:from>
    <xdr:to>
      <xdr:col>0</xdr:col>
      <xdr:colOff>323850</xdr:colOff>
      <xdr:row>1793</xdr:row>
      <xdr:rowOff>120650</xdr:rowOff>
    </xdr:to>
    <xdr:sp macro="" textlink="">
      <xdr:nvSpPr>
        <xdr:cNvPr id="656" name="Frame 655">
          <a:extLst>
            <a:ext uri="{FF2B5EF4-FFF2-40B4-BE49-F238E27FC236}">
              <a16:creationId xmlns:a16="http://schemas.microsoft.com/office/drawing/2014/main" id="{81277D9C-538E-4DE0-9A72-68723830D182}"/>
            </a:ext>
          </a:extLst>
        </xdr:cNvPr>
        <xdr:cNvSpPr/>
      </xdr:nvSpPr>
      <xdr:spPr>
        <a:xfrm>
          <a:off x="0" y="31236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1794</xdr:row>
      <xdr:rowOff>0</xdr:rowOff>
    </xdr:from>
    <xdr:to>
      <xdr:col>0</xdr:col>
      <xdr:colOff>323850</xdr:colOff>
      <xdr:row>1795</xdr:row>
      <xdr:rowOff>120650</xdr:rowOff>
    </xdr:to>
    <xdr:sp macro="" textlink="">
      <xdr:nvSpPr>
        <xdr:cNvPr id="657" name="Frame 656">
          <a:extLst>
            <a:ext uri="{FF2B5EF4-FFF2-40B4-BE49-F238E27FC236}">
              <a16:creationId xmlns:a16="http://schemas.microsoft.com/office/drawing/2014/main" id="{EBB057E4-6439-4DD5-BA70-2F566466E121}"/>
            </a:ext>
          </a:extLst>
        </xdr:cNvPr>
        <xdr:cNvSpPr/>
      </xdr:nvSpPr>
      <xdr:spPr>
        <a:xfrm>
          <a:off x="0" y="31273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1796</xdr:row>
      <xdr:rowOff>0</xdr:rowOff>
    </xdr:from>
    <xdr:to>
      <xdr:col>0</xdr:col>
      <xdr:colOff>323850</xdr:colOff>
      <xdr:row>1797</xdr:row>
      <xdr:rowOff>120650</xdr:rowOff>
    </xdr:to>
    <xdr:sp macro="" textlink="">
      <xdr:nvSpPr>
        <xdr:cNvPr id="658" name="Frame 657">
          <a:extLst>
            <a:ext uri="{FF2B5EF4-FFF2-40B4-BE49-F238E27FC236}">
              <a16:creationId xmlns:a16="http://schemas.microsoft.com/office/drawing/2014/main" id="{A2631A20-140B-4303-97E7-32C09177F6E1}"/>
            </a:ext>
          </a:extLst>
        </xdr:cNvPr>
        <xdr:cNvSpPr/>
      </xdr:nvSpPr>
      <xdr:spPr>
        <a:xfrm>
          <a:off x="0" y="31309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1798</xdr:row>
      <xdr:rowOff>0</xdr:rowOff>
    </xdr:from>
    <xdr:to>
      <xdr:col>0</xdr:col>
      <xdr:colOff>323850</xdr:colOff>
      <xdr:row>1799</xdr:row>
      <xdr:rowOff>120650</xdr:rowOff>
    </xdr:to>
    <xdr:sp macro="" textlink="">
      <xdr:nvSpPr>
        <xdr:cNvPr id="660" name="Frame 659">
          <a:extLst>
            <a:ext uri="{FF2B5EF4-FFF2-40B4-BE49-F238E27FC236}">
              <a16:creationId xmlns:a16="http://schemas.microsoft.com/office/drawing/2014/main" id="{244A8C03-2371-45D8-B81A-C81EF42099F3}"/>
            </a:ext>
          </a:extLst>
        </xdr:cNvPr>
        <xdr:cNvSpPr/>
      </xdr:nvSpPr>
      <xdr:spPr>
        <a:xfrm>
          <a:off x="0" y="32616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1800</xdr:row>
      <xdr:rowOff>0</xdr:rowOff>
    </xdr:from>
    <xdr:to>
      <xdr:col>0</xdr:col>
      <xdr:colOff>323850</xdr:colOff>
      <xdr:row>1801</xdr:row>
      <xdr:rowOff>120650</xdr:rowOff>
    </xdr:to>
    <xdr:sp macro="" textlink="">
      <xdr:nvSpPr>
        <xdr:cNvPr id="661" name="Frame 660">
          <a:extLst>
            <a:ext uri="{FF2B5EF4-FFF2-40B4-BE49-F238E27FC236}">
              <a16:creationId xmlns:a16="http://schemas.microsoft.com/office/drawing/2014/main" id="{16AAE057-6D48-4DF6-A8CE-4233585DB8AA}"/>
            </a:ext>
          </a:extLst>
        </xdr:cNvPr>
        <xdr:cNvSpPr/>
      </xdr:nvSpPr>
      <xdr:spPr>
        <a:xfrm>
          <a:off x="0" y="32652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1802</xdr:row>
      <xdr:rowOff>0</xdr:rowOff>
    </xdr:from>
    <xdr:to>
      <xdr:col>0</xdr:col>
      <xdr:colOff>323850</xdr:colOff>
      <xdr:row>1803</xdr:row>
      <xdr:rowOff>120650</xdr:rowOff>
    </xdr:to>
    <xdr:sp macro="" textlink="">
      <xdr:nvSpPr>
        <xdr:cNvPr id="662" name="Frame 661">
          <a:extLst>
            <a:ext uri="{FF2B5EF4-FFF2-40B4-BE49-F238E27FC236}">
              <a16:creationId xmlns:a16="http://schemas.microsoft.com/office/drawing/2014/main" id="{6B1C7F2E-24A8-4FB8-84EB-97177D36BFC6}"/>
            </a:ext>
          </a:extLst>
        </xdr:cNvPr>
        <xdr:cNvSpPr/>
      </xdr:nvSpPr>
      <xdr:spPr>
        <a:xfrm>
          <a:off x="0" y="32689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1804</xdr:row>
      <xdr:rowOff>0</xdr:rowOff>
    </xdr:from>
    <xdr:to>
      <xdr:col>0</xdr:col>
      <xdr:colOff>323850</xdr:colOff>
      <xdr:row>1805</xdr:row>
      <xdr:rowOff>120650</xdr:rowOff>
    </xdr:to>
    <xdr:sp macro="" textlink="">
      <xdr:nvSpPr>
        <xdr:cNvPr id="663" name="Frame 662">
          <a:extLst>
            <a:ext uri="{FF2B5EF4-FFF2-40B4-BE49-F238E27FC236}">
              <a16:creationId xmlns:a16="http://schemas.microsoft.com/office/drawing/2014/main" id="{022C7936-5F2A-48D4-B5C5-54FB6AEFBE0A}"/>
            </a:ext>
          </a:extLst>
        </xdr:cNvPr>
        <xdr:cNvSpPr/>
      </xdr:nvSpPr>
      <xdr:spPr>
        <a:xfrm>
          <a:off x="0" y="32726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1806</xdr:row>
      <xdr:rowOff>0</xdr:rowOff>
    </xdr:from>
    <xdr:to>
      <xdr:col>0</xdr:col>
      <xdr:colOff>323850</xdr:colOff>
      <xdr:row>1807</xdr:row>
      <xdr:rowOff>120650</xdr:rowOff>
    </xdr:to>
    <xdr:sp macro="" textlink="">
      <xdr:nvSpPr>
        <xdr:cNvPr id="664" name="Frame 663">
          <a:extLst>
            <a:ext uri="{FF2B5EF4-FFF2-40B4-BE49-F238E27FC236}">
              <a16:creationId xmlns:a16="http://schemas.microsoft.com/office/drawing/2014/main" id="{B3D629AD-7078-42CB-B687-9DD13D61603E}"/>
            </a:ext>
          </a:extLst>
        </xdr:cNvPr>
        <xdr:cNvSpPr/>
      </xdr:nvSpPr>
      <xdr:spPr>
        <a:xfrm>
          <a:off x="0" y="32763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1820</xdr:row>
      <xdr:rowOff>177800</xdr:rowOff>
    </xdr:from>
    <xdr:to>
      <xdr:col>0</xdr:col>
      <xdr:colOff>330200</xdr:colOff>
      <xdr:row>1822</xdr:row>
      <xdr:rowOff>114300</xdr:rowOff>
    </xdr:to>
    <xdr:sp macro="" textlink="">
      <xdr:nvSpPr>
        <xdr:cNvPr id="665" name="Frame 664">
          <a:extLst>
            <a:ext uri="{FF2B5EF4-FFF2-40B4-BE49-F238E27FC236}">
              <a16:creationId xmlns:a16="http://schemas.microsoft.com/office/drawing/2014/main" id="{50D3F1F3-992E-4E13-9B42-032E1538F7C7}"/>
            </a:ext>
          </a:extLst>
        </xdr:cNvPr>
        <xdr:cNvSpPr/>
      </xdr:nvSpPr>
      <xdr:spPr>
        <a:xfrm>
          <a:off x="6350" y="32247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1823</xdr:row>
      <xdr:rowOff>0</xdr:rowOff>
    </xdr:from>
    <xdr:to>
      <xdr:col>0</xdr:col>
      <xdr:colOff>323850</xdr:colOff>
      <xdr:row>1824</xdr:row>
      <xdr:rowOff>120650</xdr:rowOff>
    </xdr:to>
    <xdr:sp macro="" textlink="">
      <xdr:nvSpPr>
        <xdr:cNvPr id="666" name="Frame 665">
          <a:extLst>
            <a:ext uri="{FF2B5EF4-FFF2-40B4-BE49-F238E27FC236}">
              <a16:creationId xmlns:a16="http://schemas.microsoft.com/office/drawing/2014/main" id="{C0FD6B61-AD72-4434-9BF4-9B0F95973AC2}"/>
            </a:ext>
          </a:extLst>
        </xdr:cNvPr>
        <xdr:cNvSpPr/>
      </xdr:nvSpPr>
      <xdr:spPr>
        <a:xfrm>
          <a:off x="0" y="322846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1825</xdr:row>
      <xdr:rowOff>0</xdr:rowOff>
    </xdr:from>
    <xdr:to>
      <xdr:col>0</xdr:col>
      <xdr:colOff>323850</xdr:colOff>
      <xdr:row>1826</xdr:row>
      <xdr:rowOff>120650</xdr:rowOff>
    </xdr:to>
    <xdr:sp macro="" textlink="">
      <xdr:nvSpPr>
        <xdr:cNvPr id="667" name="Frame 666">
          <a:extLst>
            <a:ext uri="{FF2B5EF4-FFF2-40B4-BE49-F238E27FC236}">
              <a16:creationId xmlns:a16="http://schemas.microsoft.com/office/drawing/2014/main" id="{30ABF829-53B9-4C43-B200-77741087E4C9}"/>
            </a:ext>
          </a:extLst>
        </xdr:cNvPr>
        <xdr:cNvSpPr/>
      </xdr:nvSpPr>
      <xdr:spPr>
        <a:xfrm>
          <a:off x="0" y="32321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1827</xdr:row>
      <xdr:rowOff>0</xdr:rowOff>
    </xdr:from>
    <xdr:to>
      <xdr:col>0</xdr:col>
      <xdr:colOff>323850</xdr:colOff>
      <xdr:row>1828</xdr:row>
      <xdr:rowOff>120650</xdr:rowOff>
    </xdr:to>
    <xdr:sp macro="" textlink="">
      <xdr:nvSpPr>
        <xdr:cNvPr id="668" name="Frame 667">
          <a:extLst>
            <a:ext uri="{FF2B5EF4-FFF2-40B4-BE49-F238E27FC236}">
              <a16:creationId xmlns:a16="http://schemas.microsoft.com/office/drawing/2014/main" id="{1DA57E96-8906-4AAB-AD9A-53D283D2B8C8}"/>
            </a:ext>
          </a:extLst>
        </xdr:cNvPr>
        <xdr:cNvSpPr/>
      </xdr:nvSpPr>
      <xdr:spPr>
        <a:xfrm>
          <a:off x="0" y="323583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1829</xdr:row>
      <xdr:rowOff>0</xdr:rowOff>
    </xdr:from>
    <xdr:to>
      <xdr:col>0</xdr:col>
      <xdr:colOff>323850</xdr:colOff>
      <xdr:row>1830</xdr:row>
      <xdr:rowOff>120650</xdr:rowOff>
    </xdr:to>
    <xdr:sp macro="" textlink="">
      <xdr:nvSpPr>
        <xdr:cNvPr id="669" name="Frame 668">
          <a:extLst>
            <a:ext uri="{FF2B5EF4-FFF2-40B4-BE49-F238E27FC236}">
              <a16:creationId xmlns:a16="http://schemas.microsoft.com/office/drawing/2014/main" id="{A2CFE584-1805-4140-A763-6193F1DAC4C0}"/>
            </a:ext>
          </a:extLst>
        </xdr:cNvPr>
        <xdr:cNvSpPr/>
      </xdr:nvSpPr>
      <xdr:spPr>
        <a:xfrm>
          <a:off x="0" y="323951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1831</xdr:row>
      <xdr:rowOff>0</xdr:rowOff>
    </xdr:from>
    <xdr:to>
      <xdr:col>0</xdr:col>
      <xdr:colOff>323850</xdr:colOff>
      <xdr:row>1832</xdr:row>
      <xdr:rowOff>120650</xdr:rowOff>
    </xdr:to>
    <xdr:sp macro="" textlink="">
      <xdr:nvSpPr>
        <xdr:cNvPr id="670" name="Frame 669">
          <a:extLst>
            <a:ext uri="{FF2B5EF4-FFF2-40B4-BE49-F238E27FC236}">
              <a16:creationId xmlns:a16="http://schemas.microsoft.com/office/drawing/2014/main" id="{B9508E80-AD34-42A0-81F4-7176BB7068B3}"/>
            </a:ext>
          </a:extLst>
        </xdr:cNvPr>
        <xdr:cNvSpPr/>
      </xdr:nvSpPr>
      <xdr:spPr>
        <a:xfrm>
          <a:off x="0" y="32431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1833</xdr:row>
      <xdr:rowOff>0</xdr:rowOff>
    </xdr:from>
    <xdr:to>
      <xdr:col>0</xdr:col>
      <xdr:colOff>323850</xdr:colOff>
      <xdr:row>1834</xdr:row>
      <xdr:rowOff>120650</xdr:rowOff>
    </xdr:to>
    <xdr:sp macro="" textlink="">
      <xdr:nvSpPr>
        <xdr:cNvPr id="671" name="Frame 670">
          <a:extLst>
            <a:ext uri="{FF2B5EF4-FFF2-40B4-BE49-F238E27FC236}">
              <a16:creationId xmlns:a16="http://schemas.microsoft.com/office/drawing/2014/main" id="{B52DC90C-F7B3-4274-AA25-CB8112FF2980}"/>
            </a:ext>
          </a:extLst>
        </xdr:cNvPr>
        <xdr:cNvSpPr/>
      </xdr:nvSpPr>
      <xdr:spPr>
        <a:xfrm>
          <a:off x="0" y="324688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1835</xdr:row>
      <xdr:rowOff>0</xdr:rowOff>
    </xdr:from>
    <xdr:to>
      <xdr:col>0</xdr:col>
      <xdr:colOff>323850</xdr:colOff>
      <xdr:row>1836</xdr:row>
      <xdr:rowOff>120650</xdr:rowOff>
    </xdr:to>
    <xdr:sp macro="" textlink="">
      <xdr:nvSpPr>
        <xdr:cNvPr id="672" name="Frame 671">
          <a:extLst>
            <a:ext uri="{FF2B5EF4-FFF2-40B4-BE49-F238E27FC236}">
              <a16:creationId xmlns:a16="http://schemas.microsoft.com/office/drawing/2014/main" id="{5BF475DB-7A71-4D2C-B43B-61C06EB14BCC}"/>
            </a:ext>
          </a:extLst>
        </xdr:cNvPr>
        <xdr:cNvSpPr/>
      </xdr:nvSpPr>
      <xdr:spPr>
        <a:xfrm>
          <a:off x="0" y="325056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1837</xdr:row>
      <xdr:rowOff>0</xdr:rowOff>
    </xdr:from>
    <xdr:to>
      <xdr:col>0</xdr:col>
      <xdr:colOff>323850</xdr:colOff>
      <xdr:row>1838</xdr:row>
      <xdr:rowOff>120650</xdr:rowOff>
    </xdr:to>
    <xdr:sp macro="" textlink="">
      <xdr:nvSpPr>
        <xdr:cNvPr id="673" name="Frame 672">
          <a:extLst>
            <a:ext uri="{FF2B5EF4-FFF2-40B4-BE49-F238E27FC236}">
              <a16:creationId xmlns:a16="http://schemas.microsoft.com/office/drawing/2014/main" id="{D8A2F0FC-BA49-4847-874B-AA95924C676A}"/>
            </a:ext>
          </a:extLst>
        </xdr:cNvPr>
        <xdr:cNvSpPr/>
      </xdr:nvSpPr>
      <xdr:spPr>
        <a:xfrm>
          <a:off x="0" y="325424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1839</xdr:row>
      <xdr:rowOff>0</xdr:rowOff>
    </xdr:from>
    <xdr:to>
      <xdr:col>0</xdr:col>
      <xdr:colOff>323850</xdr:colOff>
      <xdr:row>1840</xdr:row>
      <xdr:rowOff>120650</xdr:rowOff>
    </xdr:to>
    <xdr:sp macro="" textlink="">
      <xdr:nvSpPr>
        <xdr:cNvPr id="674" name="Frame 673">
          <a:extLst>
            <a:ext uri="{FF2B5EF4-FFF2-40B4-BE49-F238E27FC236}">
              <a16:creationId xmlns:a16="http://schemas.microsoft.com/office/drawing/2014/main" id="{C47470BB-8B59-47F5-938A-1FD4F2FC855C}"/>
            </a:ext>
          </a:extLst>
        </xdr:cNvPr>
        <xdr:cNvSpPr/>
      </xdr:nvSpPr>
      <xdr:spPr>
        <a:xfrm>
          <a:off x="0" y="325793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1841</xdr:row>
      <xdr:rowOff>0</xdr:rowOff>
    </xdr:from>
    <xdr:to>
      <xdr:col>0</xdr:col>
      <xdr:colOff>323850</xdr:colOff>
      <xdr:row>1842</xdr:row>
      <xdr:rowOff>120650</xdr:rowOff>
    </xdr:to>
    <xdr:sp macro="" textlink="">
      <xdr:nvSpPr>
        <xdr:cNvPr id="675" name="Frame 674">
          <a:extLst>
            <a:ext uri="{FF2B5EF4-FFF2-40B4-BE49-F238E27FC236}">
              <a16:creationId xmlns:a16="http://schemas.microsoft.com/office/drawing/2014/main" id="{4CB93F8B-EFA4-4A20-B230-9C88A7D6AD6C}"/>
            </a:ext>
          </a:extLst>
        </xdr:cNvPr>
        <xdr:cNvSpPr/>
      </xdr:nvSpPr>
      <xdr:spPr>
        <a:xfrm>
          <a:off x="0" y="32616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1855</xdr:row>
      <xdr:rowOff>177800</xdr:rowOff>
    </xdr:from>
    <xdr:to>
      <xdr:col>0</xdr:col>
      <xdr:colOff>330200</xdr:colOff>
      <xdr:row>1857</xdr:row>
      <xdr:rowOff>114300</xdr:rowOff>
    </xdr:to>
    <xdr:sp macro="" textlink="">
      <xdr:nvSpPr>
        <xdr:cNvPr id="595" name="Frame 594">
          <a:extLst>
            <a:ext uri="{FF2B5EF4-FFF2-40B4-BE49-F238E27FC236}">
              <a16:creationId xmlns:a16="http://schemas.microsoft.com/office/drawing/2014/main" id="{D6C850D9-DD4A-4EED-951C-EB9408C6B1DD}"/>
            </a:ext>
          </a:extLst>
        </xdr:cNvPr>
        <xdr:cNvSpPr/>
      </xdr:nvSpPr>
      <xdr:spPr>
        <a:xfrm>
          <a:off x="6350" y="8383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1858</xdr:row>
      <xdr:rowOff>0</xdr:rowOff>
    </xdr:from>
    <xdr:to>
      <xdr:col>0</xdr:col>
      <xdr:colOff>323850</xdr:colOff>
      <xdr:row>1859</xdr:row>
      <xdr:rowOff>120650</xdr:rowOff>
    </xdr:to>
    <xdr:sp macro="" textlink="">
      <xdr:nvSpPr>
        <xdr:cNvPr id="600" name="Frame 599">
          <a:extLst>
            <a:ext uri="{FF2B5EF4-FFF2-40B4-BE49-F238E27FC236}">
              <a16:creationId xmlns:a16="http://schemas.microsoft.com/office/drawing/2014/main" id="{E6CE2D66-9272-44B1-9FE5-8AAB1191A926}"/>
            </a:ext>
          </a:extLst>
        </xdr:cNvPr>
        <xdr:cNvSpPr/>
      </xdr:nvSpPr>
      <xdr:spPr>
        <a:xfrm>
          <a:off x="0" y="8420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1860</xdr:row>
      <xdr:rowOff>0</xdr:rowOff>
    </xdr:from>
    <xdr:to>
      <xdr:col>0</xdr:col>
      <xdr:colOff>323850</xdr:colOff>
      <xdr:row>1861</xdr:row>
      <xdr:rowOff>120650</xdr:rowOff>
    </xdr:to>
    <xdr:sp macro="" textlink="">
      <xdr:nvSpPr>
        <xdr:cNvPr id="614" name="Frame 613">
          <a:extLst>
            <a:ext uri="{FF2B5EF4-FFF2-40B4-BE49-F238E27FC236}">
              <a16:creationId xmlns:a16="http://schemas.microsoft.com/office/drawing/2014/main" id="{808179B3-A9EB-49DD-BC27-C63F5D2D04F7}"/>
            </a:ext>
          </a:extLst>
        </xdr:cNvPr>
        <xdr:cNvSpPr/>
      </xdr:nvSpPr>
      <xdr:spPr>
        <a:xfrm>
          <a:off x="0" y="8457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1862</xdr:row>
      <xdr:rowOff>0</xdr:rowOff>
    </xdr:from>
    <xdr:to>
      <xdr:col>0</xdr:col>
      <xdr:colOff>323850</xdr:colOff>
      <xdr:row>1863</xdr:row>
      <xdr:rowOff>120650</xdr:rowOff>
    </xdr:to>
    <xdr:sp macro="" textlink="">
      <xdr:nvSpPr>
        <xdr:cNvPr id="615" name="Frame 614">
          <a:extLst>
            <a:ext uri="{FF2B5EF4-FFF2-40B4-BE49-F238E27FC236}">
              <a16:creationId xmlns:a16="http://schemas.microsoft.com/office/drawing/2014/main" id="{40F8D399-BEE0-4D6F-AF7A-777DEAE5D5C6}"/>
            </a:ext>
          </a:extLst>
        </xdr:cNvPr>
        <xdr:cNvSpPr/>
      </xdr:nvSpPr>
      <xdr:spPr>
        <a:xfrm>
          <a:off x="0" y="8494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1864</xdr:row>
      <xdr:rowOff>0</xdr:rowOff>
    </xdr:from>
    <xdr:to>
      <xdr:col>0</xdr:col>
      <xdr:colOff>323850</xdr:colOff>
      <xdr:row>1865</xdr:row>
      <xdr:rowOff>120650</xdr:rowOff>
    </xdr:to>
    <xdr:sp macro="" textlink="">
      <xdr:nvSpPr>
        <xdr:cNvPr id="616" name="Frame 615">
          <a:extLst>
            <a:ext uri="{FF2B5EF4-FFF2-40B4-BE49-F238E27FC236}">
              <a16:creationId xmlns:a16="http://schemas.microsoft.com/office/drawing/2014/main" id="{AEEAE814-A57B-4621-A6C0-876F322791B4}"/>
            </a:ext>
          </a:extLst>
        </xdr:cNvPr>
        <xdr:cNvSpPr/>
      </xdr:nvSpPr>
      <xdr:spPr>
        <a:xfrm>
          <a:off x="0" y="8531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1866</xdr:row>
      <xdr:rowOff>0</xdr:rowOff>
    </xdr:from>
    <xdr:to>
      <xdr:col>0</xdr:col>
      <xdr:colOff>323850</xdr:colOff>
      <xdr:row>1867</xdr:row>
      <xdr:rowOff>120650</xdr:rowOff>
    </xdr:to>
    <xdr:sp macro="" textlink="">
      <xdr:nvSpPr>
        <xdr:cNvPr id="619" name="Frame 618">
          <a:extLst>
            <a:ext uri="{FF2B5EF4-FFF2-40B4-BE49-F238E27FC236}">
              <a16:creationId xmlns:a16="http://schemas.microsoft.com/office/drawing/2014/main" id="{61E50C56-963C-4887-BC0D-B8C25F4D86F0}"/>
            </a:ext>
          </a:extLst>
        </xdr:cNvPr>
        <xdr:cNvSpPr/>
      </xdr:nvSpPr>
      <xdr:spPr>
        <a:xfrm>
          <a:off x="0" y="8568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1868</xdr:row>
      <xdr:rowOff>0</xdr:rowOff>
    </xdr:from>
    <xdr:to>
      <xdr:col>0</xdr:col>
      <xdr:colOff>323850</xdr:colOff>
      <xdr:row>1869</xdr:row>
      <xdr:rowOff>120650</xdr:rowOff>
    </xdr:to>
    <xdr:sp macro="" textlink="">
      <xdr:nvSpPr>
        <xdr:cNvPr id="620" name="Frame 619">
          <a:extLst>
            <a:ext uri="{FF2B5EF4-FFF2-40B4-BE49-F238E27FC236}">
              <a16:creationId xmlns:a16="http://schemas.microsoft.com/office/drawing/2014/main" id="{B0EABDE9-234C-4C01-B1C4-48821C55D173}"/>
            </a:ext>
          </a:extLst>
        </xdr:cNvPr>
        <xdr:cNvSpPr/>
      </xdr:nvSpPr>
      <xdr:spPr>
        <a:xfrm>
          <a:off x="0" y="8604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1870</xdr:row>
      <xdr:rowOff>0</xdr:rowOff>
    </xdr:from>
    <xdr:to>
      <xdr:col>0</xdr:col>
      <xdr:colOff>323850</xdr:colOff>
      <xdr:row>1871</xdr:row>
      <xdr:rowOff>120650</xdr:rowOff>
    </xdr:to>
    <xdr:sp macro="" textlink="">
      <xdr:nvSpPr>
        <xdr:cNvPr id="632" name="Frame 631">
          <a:extLst>
            <a:ext uri="{FF2B5EF4-FFF2-40B4-BE49-F238E27FC236}">
              <a16:creationId xmlns:a16="http://schemas.microsoft.com/office/drawing/2014/main" id="{656B7A1C-DC2B-420B-9CDF-80FC2CCE7BF2}"/>
            </a:ext>
          </a:extLst>
        </xdr:cNvPr>
        <xdr:cNvSpPr/>
      </xdr:nvSpPr>
      <xdr:spPr>
        <a:xfrm>
          <a:off x="0" y="8641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1872</xdr:row>
      <xdr:rowOff>0</xdr:rowOff>
    </xdr:from>
    <xdr:to>
      <xdr:col>0</xdr:col>
      <xdr:colOff>323850</xdr:colOff>
      <xdr:row>1873</xdr:row>
      <xdr:rowOff>120650</xdr:rowOff>
    </xdr:to>
    <xdr:sp macro="" textlink="">
      <xdr:nvSpPr>
        <xdr:cNvPr id="633" name="Frame 632">
          <a:extLst>
            <a:ext uri="{FF2B5EF4-FFF2-40B4-BE49-F238E27FC236}">
              <a16:creationId xmlns:a16="http://schemas.microsoft.com/office/drawing/2014/main" id="{9DEBB1D7-E0F3-42E5-A955-F337CB687725}"/>
            </a:ext>
          </a:extLst>
        </xdr:cNvPr>
        <xdr:cNvSpPr/>
      </xdr:nvSpPr>
      <xdr:spPr>
        <a:xfrm>
          <a:off x="0" y="8678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1874</xdr:row>
      <xdr:rowOff>0</xdr:rowOff>
    </xdr:from>
    <xdr:to>
      <xdr:col>0</xdr:col>
      <xdr:colOff>323850</xdr:colOff>
      <xdr:row>1875</xdr:row>
      <xdr:rowOff>120650</xdr:rowOff>
    </xdr:to>
    <xdr:sp macro="" textlink="">
      <xdr:nvSpPr>
        <xdr:cNvPr id="634" name="Frame 633">
          <a:extLst>
            <a:ext uri="{FF2B5EF4-FFF2-40B4-BE49-F238E27FC236}">
              <a16:creationId xmlns:a16="http://schemas.microsoft.com/office/drawing/2014/main" id="{1A30A5C8-977E-4C67-9559-1FA1162485AE}"/>
            </a:ext>
          </a:extLst>
        </xdr:cNvPr>
        <xdr:cNvSpPr/>
      </xdr:nvSpPr>
      <xdr:spPr>
        <a:xfrm>
          <a:off x="0" y="8715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1876</xdr:row>
      <xdr:rowOff>0</xdr:rowOff>
    </xdr:from>
    <xdr:to>
      <xdr:col>0</xdr:col>
      <xdr:colOff>323850</xdr:colOff>
      <xdr:row>1877</xdr:row>
      <xdr:rowOff>120650</xdr:rowOff>
    </xdr:to>
    <xdr:sp macro="" textlink="">
      <xdr:nvSpPr>
        <xdr:cNvPr id="635" name="Frame 634">
          <a:extLst>
            <a:ext uri="{FF2B5EF4-FFF2-40B4-BE49-F238E27FC236}">
              <a16:creationId xmlns:a16="http://schemas.microsoft.com/office/drawing/2014/main" id="{AB8696E1-B221-4BC0-A34B-B1936F702B2C}"/>
            </a:ext>
          </a:extLst>
        </xdr:cNvPr>
        <xdr:cNvSpPr/>
      </xdr:nvSpPr>
      <xdr:spPr>
        <a:xfrm>
          <a:off x="0" y="8752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1878</xdr:row>
      <xdr:rowOff>0</xdr:rowOff>
    </xdr:from>
    <xdr:to>
      <xdr:col>0</xdr:col>
      <xdr:colOff>323850</xdr:colOff>
      <xdr:row>1879</xdr:row>
      <xdr:rowOff>120650</xdr:rowOff>
    </xdr:to>
    <xdr:sp macro="" textlink="">
      <xdr:nvSpPr>
        <xdr:cNvPr id="636" name="Frame 635">
          <a:extLst>
            <a:ext uri="{FF2B5EF4-FFF2-40B4-BE49-F238E27FC236}">
              <a16:creationId xmlns:a16="http://schemas.microsoft.com/office/drawing/2014/main" id="{651BFE1F-8B08-49A4-999E-AD23204B9434}"/>
            </a:ext>
          </a:extLst>
        </xdr:cNvPr>
        <xdr:cNvSpPr/>
      </xdr:nvSpPr>
      <xdr:spPr>
        <a:xfrm>
          <a:off x="0" y="8789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1880</xdr:row>
      <xdr:rowOff>0</xdr:rowOff>
    </xdr:from>
    <xdr:to>
      <xdr:col>0</xdr:col>
      <xdr:colOff>323850</xdr:colOff>
      <xdr:row>1881</xdr:row>
      <xdr:rowOff>120650</xdr:rowOff>
    </xdr:to>
    <xdr:sp macro="" textlink="">
      <xdr:nvSpPr>
        <xdr:cNvPr id="637" name="Frame 636">
          <a:extLst>
            <a:ext uri="{FF2B5EF4-FFF2-40B4-BE49-F238E27FC236}">
              <a16:creationId xmlns:a16="http://schemas.microsoft.com/office/drawing/2014/main" id="{6C154352-B775-4AC8-ADC8-43C6FC9FA3BD}"/>
            </a:ext>
          </a:extLst>
        </xdr:cNvPr>
        <xdr:cNvSpPr/>
      </xdr:nvSpPr>
      <xdr:spPr>
        <a:xfrm>
          <a:off x="0" y="88258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1882</xdr:row>
      <xdr:rowOff>0</xdr:rowOff>
    </xdr:from>
    <xdr:to>
      <xdr:col>0</xdr:col>
      <xdr:colOff>323850</xdr:colOff>
      <xdr:row>1883</xdr:row>
      <xdr:rowOff>120650</xdr:rowOff>
    </xdr:to>
    <xdr:sp macro="" textlink="">
      <xdr:nvSpPr>
        <xdr:cNvPr id="641" name="Frame 640">
          <a:extLst>
            <a:ext uri="{FF2B5EF4-FFF2-40B4-BE49-F238E27FC236}">
              <a16:creationId xmlns:a16="http://schemas.microsoft.com/office/drawing/2014/main" id="{41C888BD-688A-409B-8449-BAB99F233B1C}"/>
            </a:ext>
          </a:extLst>
        </xdr:cNvPr>
        <xdr:cNvSpPr/>
      </xdr:nvSpPr>
      <xdr:spPr>
        <a:xfrm>
          <a:off x="0" y="34180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1884</xdr:row>
      <xdr:rowOff>0</xdr:rowOff>
    </xdr:from>
    <xdr:to>
      <xdr:col>0</xdr:col>
      <xdr:colOff>323850</xdr:colOff>
      <xdr:row>1885</xdr:row>
      <xdr:rowOff>120650</xdr:rowOff>
    </xdr:to>
    <xdr:sp macro="" textlink="">
      <xdr:nvSpPr>
        <xdr:cNvPr id="642" name="Frame 641">
          <a:extLst>
            <a:ext uri="{FF2B5EF4-FFF2-40B4-BE49-F238E27FC236}">
              <a16:creationId xmlns:a16="http://schemas.microsoft.com/office/drawing/2014/main" id="{85293D60-40DD-4BE7-BDF9-C2D7F201F1AB}"/>
            </a:ext>
          </a:extLst>
        </xdr:cNvPr>
        <xdr:cNvSpPr/>
      </xdr:nvSpPr>
      <xdr:spPr>
        <a:xfrm>
          <a:off x="0" y="34216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323850</xdr:colOff>
      <xdr:row>1887</xdr:row>
      <xdr:rowOff>120650</xdr:rowOff>
    </xdr:to>
    <xdr:sp macro="" textlink="">
      <xdr:nvSpPr>
        <xdr:cNvPr id="643" name="Frame 642">
          <a:extLst>
            <a:ext uri="{FF2B5EF4-FFF2-40B4-BE49-F238E27FC236}">
              <a16:creationId xmlns:a16="http://schemas.microsoft.com/office/drawing/2014/main" id="{C1BB5032-232A-47F1-A829-C93733479750}"/>
            </a:ext>
          </a:extLst>
        </xdr:cNvPr>
        <xdr:cNvSpPr/>
      </xdr:nvSpPr>
      <xdr:spPr>
        <a:xfrm>
          <a:off x="0" y="34253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1888</xdr:row>
      <xdr:rowOff>0</xdr:rowOff>
    </xdr:from>
    <xdr:to>
      <xdr:col>0</xdr:col>
      <xdr:colOff>323850</xdr:colOff>
      <xdr:row>1889</xdr:row>
      <xdr:rowOff>120650</xdr:rowOff>
    </xdr:to>
    <xdr:sp macro="" textlink="">
      <xdr:nvSpPr>
        <xdr:cNvPr id="644" name="Frame 643">
          <a:extLst>
            <a:ext uri="{FF2B5EF4-FFF2-40B4-BE49-F238E27FC236}">
              <a16:creationId xmlns:a16="http://schemas.microsoft.com/office/drawing/2014/main" id="{EFB5AAA1-C245-4E28-8728-7BF9F20BCF53}"/>
            </a:ext>
          </a:extLst>
        </xdr:cNvPr>
        <xdr:cNvSpPr/>
      </xdr:nvSpPr>
      <xdr:spPr>
        <a:xfrm>
          <a:off x="0" y="34290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1902</xdr:row>
      <xdr:rowOff>177800</xdr:rowOff>
    </xdr:from>
    <xdr:to>
      <xdr:col>0</xdr:col>
      <xdr:colOff>330200</xdr:colOff>
      <xdr:row>1904</xdr:row>
      <xdr:rowOff>114300</xdr:rowOff>
    </xdr:to>
    <xdr:sp macro="" textlink="">
      <xdr:nvSpPr>
        <xdr:cNvPr id="645" name="Frame 644">
          <a:extLst>
            <a:ext uri="{FF2B5EF4-FFF2-40B4-BE49-F238E27FC236}">
              <a16:creationId xmlns:a16="http://schemas.microsoft.com/office/drawing/2014/main" id="{48A1A127-EE5D-4F5D-982F-16542B7F99A9}"/>
            </a:ext>
          </a:extLst>
        </xdr:cNvPr>
        <xdr:cNvSpPr/>
      </xdr:nvSpPr>
      <xdr:spPr>
        <a:xfrm>
          <a:off x="6350" y="33700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1905</xdr:row>
      <xdr:rowOff>0</xdr:rowOff>
    </xdr:from>
    <xdr:to>
      <xdr:col>0</xdr:col>
      <xdr:colOff>323850</xdr:colOff>
      <xdr:row>1906</xdr:row>
      <xdr:rowOff>120650</xdr:rowOff>
    </xdr:to>
    <xdr:sp macro="" textlink="">
      <xdr:nvSpPr>
        <xdr:cNvPr id="646" name="Frame 645">
          <a:extLst>
            <a:ext uri="{FF2B5EF4-FFF2-40B4-BE49-F238E27FC236}">
              <a16:creationId xmlns:a16="http://schemas.microsoft.com/office/drawing/2014/main" id="{09B8D3BE-569B-4779-B4AC-4BEAEF06EC6F}"/>
            </a:ext>
          </a:extLst>
        </xdr:cNvPr>
        <xdr:cNvSpPr/>
      </xdr:nvSpPr>
      <xdr:spPr>
        <a:xfrm>
          <a:off x="0" y="337381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1907</xdr:row>
      <xdr:rowOff>0</xdr:rowOff>
    </xdr:from>
    <xdr:to>
      <xdr:col>0</xdr:col>
      <xdr:colOff>323850</xdr:colOff>
      <xdr:row>1908</xdr:row>
      <xdr:rowOff>120650</xdr:rowOff>
    </xdr:to>
    <xdr:sp macro="" textlink="">
      <xdr:nvSpPr>
        <xdr:cNvPr id="647" name="Frame 646">
          <a:extLst>
            <a:ext uri="{FF2B5EF4-FFF2-40B4-BE49-F238E27FC236}">
              <a16:creationId xmlns:a16="http://schemas.microsoft.com/office/drawing/2014/main" id="{140775C5-A5C0-4BF9-90D4-289C74B47D3B}"/>
            </a:ext>
          </a:extLst>
        </xdr:cNvPr>
        <xdr:cNvSpPr/>
      </xdr:nvSpPr>
      <xdr:spPr>
        <a:xfrm>
          <a:off x="0" y="337750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1909</xdr:row>
      <xdr:rowOff>0</xdr:rowOff>
    </xdr:from>
    <xdr:to>
      <xdr:col>0</xdr:col>
      <xdr:colOff>323850</xdr:colOff>
      <xdr:row>1910</xdr:row>
      <xdr:rowOff>120650</xdr:rowOff>
    </xdr:to>
    <xdr:sp macro="" textlink="">
      <xdr:nvSpPr>
        <xdr:cNvPr id="648" name="Frame 647">
          <a:extLst>
            <a:ext uri="{FF2B5EF4-FFF2-40B4-BE49-F238E27FC236}">
              <a16:creationId xmlns:a16="http://schemas.microsoft.com/office/drawing/2014/main" id="{B22C3D2B-830A-4012-BFF5-325851609AE0}"/>
            </a:ext>
          </a:extLst>
        </xdr:cNvPr>
        <xdr:cNvSpPr/>
      </xdr:nvSpPr>
      <xdr:spPr>
        <a:xfrm>
          <a:off x="0" y="338118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1911</xdr:row>
      <xdr:rowOff>0</xdr:rowOff>
    </xdr:from>
    <xdr:to>
      <xdr:col>0</xdr:col>
      <xdr:colOff>323850</xdr:colOff>
      <xdr:row>1912</xdr:row>
      <xdr:rowOff>120650</xdr:rowOff>
    </xdr:to>
    <xdr:sp macro="" textlink="">
      <xdr:nvSpPr>
        <xdr:cNvPr id="659" name="Frame 658">
          <a:extLst>
            <a:ext uri="{FF2B5EF4-FFF2-40B4-BE49-F238E27FC236}">
              <a16:creationId xmlns:a16="http://schemas.microsoft.com/office/drawing/2014/main" id="{EFF95618-8786-4022-9D55-C09ED7922BED}"/>
            </a:ext>
          </a:extLst>
        </xdr:cNvPr>
        <xdr:cNvSpPr/>
      </xdr:nvSpPr>
      <xdr:spPr>
        <a:xfrm>
          <a:off x="0" y="33848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1913</xdr:row>
      <xdr:rowOff>0</xdr:rowOff>
    </xdr:from>
    <xdr:to>
      <xdr:col>0</xdr:col>
      <xdr:colOff>323850</xdr:colOff>
      <xdr:row>1914</xdr:row>
      <xdr:rowOff>120650</xdr:rowOff>
    </xdr:to>
    <xdr:sp macro="" textlink="">
      <xdr:nvSpPr>
        <xdr:cNvPr id="676" name="Frame 675">
          <a:extLst>
            <a:ext uri="{FF2B5EF4-FFF2-40B4-BE49-F238E27FC236}">
              <a16:creationId xmlns:a16="http://schemas.microsoft.com/office/drawing/2014/main" id="{B54C2670-6AF2-474E-92CF-809520A582DC}"/>
            </a:ext>
          </a:extLst>
        </xdr:cNvPr>
        <xdr:cNvSpPr/>
      </xdr:nvSpPr>
      <xdr:spPr>
        <a:xfrm>
          <a:off x="0" y="33885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1915</xdr:row>
      <xdr:rowOff>0</xdr:rowOff>
    </xdr:from>
    <xdr:to>
      <xdr:col>0</xdr:col>
      <xdr:colOff>323850</xdr:colOff>
      <xdr:row>1916</xdr:row>
      <xdr:rowOff>120650</xdr:rowOff>
    </xdr:to>
    <xdr:sp macro="" textlink="">
      <xdr:nvSpPr>
        <xdr:cNvPr id="677" name="Frame 676">
          <a:extLst>
            <a:ext uri="{FF2B5EF4-FFF2-40B4-BE49-F238E27FC236}">
              <a16:creationId xmlns:a16="http://schemas.microsoft.com/office/drawing/2014/main" id="{648AD2F1-2E67-42C2-A8AA-E27DB5EF057C}"/>
            </a:ext>
          </a:extLst>
        </xdr:cNvPr>
        <xdr:cNvSpPr/>
      </xdr:nvSpPr>
      <xdr:spPr>
        <a:xfrm>
          <a:off x="0" y="33922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1917</xdr:row>
      <xdr:rowOff>0</xdr:rowOff>
    </xdr:from>
    <xdr:to>
      <xdr:col>0</xdr:col>
      <xdr:colOff>323850</xdr:colOff>
      <xdr:row>1918</xdr:row>
      <xdr:rowOff>120650</xdr:rowOff>
    </xdr:to>
    <xdr:sp macro="" textlink="">
      <xdr:nvSpPr>
        <xdr:cNvPr id="678" name="Frame 677">
          <a:extLst>
            <a:ext uri="{FF2B5EF4-FFF2-40B4-BE49-F238E27FC236}">
              <a16:creationId xmlns:a16="http://schemas.microsoft.com/office/drawing/2014/main" id="{022439F7-4AB3-45B2-A05A-3C7B41A58B23}"/>
            </a:ext>
          </a:extLst>
        </xdr:cNvPr>
        <xdr:cNvSpPr/>
      </xdr:nvSpPr>
      <xdr:spPr>
        <a:xfrm>
          <a:off x="0" y="33959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1919</xdr:row>
      <xdr:rowOff>0</xdr:rowOff>
    </xdr:from>
    <xdr:to>
      <xdr:col>0</xdr:col>
      <xdr:colOff>323850</xdr:colOff>
      <xdr:row>1920</xdr:row>
      <xdr:rowOff>120650</xdr:rowOff>
    </xdr:to>
    <xdr:sp macro="" textlink="">
      <xdr:nvSpPr>
        <xdr:cNvPr id="679" name="Frame 678">
          <a:extLst>
            <a:ext uri="{FF2B5EF4-FFF2-40B4-BE49-F238E27FC236}">
              <a16:creationId xmlns:a16="http://schemas.microsoft.com/office/drawing/2014/main" id="{FBDFD3BD-0E9A-4B6E-803B-7F0CC1C02C3F}"/>
            </a:ext>
          </a:extLst>
        </xdr:cNvPr>
        <xdr:cNvSpPr/>
      </xdr:nvSpPr>
      <xdr:spPr>
        <a:xfrm>
          <a:off x="0" y="339959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1921</xdr:row>
      <xdr:rowOff>0</xdr:rowOff>
    </xdr:from>
    <xdr:to>
      <xdr:col>0</xdr:col>
      <xdr:colOff>323850</xdr:colOff>
      <xdr:row>1922</xdr:row>
      <xdr:rowOff>120650</xdr:rowOff>
    </xdr:to>
    <xdr:sp macro="" textlink="">
      <xdr:nvSpPr>
        <xdr:cNvPr id="680" name="Frame 679">
          <a:extLst>
            <a:ext uri="{FF2B5EF4-FFF2-40B4-BE49-F238E27FC236}">
              <a16:creationId xmlns:a16="http://schemas.microsoft.com/office/drawing/2014/main" id="{60D15DB2-D093-479F-9CAF-5C2099E69E21}"/>
            </a:ext>
          </a:extLst>
        </xdr:cNvPr>
        <xdr:cNvSpPr/>
      </xdr:nvSpPr>
      <xdr:spPr>
        <a:xfrm>
          <a:off x="0" y="340328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1923</xdr:row>
      <xdr:rowOff>0</xdr:rowOff>
    </xdr:from>
    <xdr:to>
      <xdr:col>0</xdr:col>
      <xdr:colOff>323850</xdr:colOff>
      <xdr:row>1924</xdr:row>
      <xdr:rowOff>120650</xdr:rowOff>
    </xdr:to>
    <xdr:sp macro="" textlink="">
      <xdr:nvSpPr>
        <xdr:cNvPr id="681" name="Frame 680">
          <a:extLst>
            <a:ext uri="{FF2B5EF4-FFF2-40B4-BE49-F238E27FC236}">
              <a16:creationId xmlns:a16="http://schemas.microsoft.com/office/drawing/2014/main" id="{078F9BAE-D796-4902-982F-D79F048F117B}"/>
            </a:ext>
          </a:extLst>
        </xdr:cNvPr>
        <xdr:cNvSpPr/>
      </xdr:nvSpPr>
      <xdr:spPr>
        <a:xfrm>
          <a:off x="0" y="340696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1925</xdr:row>
      <xdr:rowOff>0</xdr:rowOff>
    </xdr:from>
    <xdr:to>
      <xdr:col>0</xdr:col>
      <xdr:colOff>323850</xdr:colOff>
      <xdr:row>1926</xdr:row>
      <xdr:rowOff>120650</xdr:rowOff>
    </xdr:to>
    <xdr:sp macro="" textlink="">
      <xdr:nvSpPr>
        <xdr:cNvPr id="682" name="Frame 681">
          <a:extLst>
            <a:ext uri="{FF2B5EF4-FFF2-40B4-BE49-F238E27FC236}">
              <a16:creationId xmlns:a16="http://schemas.microsoft.com/office/drawing/2014/main" id="{63DC1EAF-8120-46FF-8BCA-03AAB76CECE2}"/>
            </a:ext>
          </a:extLst>
        </xdr:cNvPr>
        <xdr:cNvSpPr/>
      </xdr:nvSpPr>
      <xdr:spPr>
        <a:xfrm>
          <a:off x="0" y="34106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1927</xdr:row>
      <xdr:rowOff>0</xdr:rowOff>
    </xdr:from>
    <xdr:to>
      <xdr:col>0</xdr:col>
      <xdr:colOff>323850</xdr:colOff>
      <xdr:row>1928</xdr:row>
      <xdr:rowOff>120650</xdr:rowOff>
    </xdr:to>
    <xdr:sp macro="" textlink="">
      <xdr:nvSpPr>
        <xdr:cNvPr id="683" name="Frame 682">
          <a:extLst>
            <a:ext uri="{FF2B5EF4-FFF2-40B4-BE49-F238E27FC236}">
              <a16:creationId xmlns:a16="http://schemas.microsoft.com/office/drawing/2014/main" id="{AA1FBD4D-5F46-4BAF-A4E4-8CD607054F20}"/>
            </a:ext>
          </a:extLst>
        </xdr:cNvPr>
        <xdr:cNvSpPr/>
      </xdr:nvSpPr>
      <xdr:spPr>
        <a:xfrm>
          <a:off x="0" y="34143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1937</xdr:row>
      <xdr:rowOff>0</xdr:rowOff>
    </xdr:from>
    <xdr:to>
      <xdr:col>0</xdr:col>
      <xdr:colOff>323850</xdr:colOff>
      <xdr:row>1938</xdr:row>
      <xdr:rowOff>120650</xdr:rowOff>
    </xdr:to>
    <xdr:sp macro="" textlink="">
      <xdr:nvSpPr>
        <xdr:cNvPr id="684" name="Frame 683">
          <a:extLst>
            <a:ext uri="{FF2B5EF4-FFF2-40B4-BE49-F238E27FC236}">
              <a16:creationId xmlns:a16="http://schemas.microsoft.com/office/drawing/2014/main" id="{B80A349E-1F0A-4AE3-94BA-1461148DCFF1}"/>
            </a:ext>
          </a:extLst>
        </xdr:cNvPr>
        <xdr:cNvSpPr/>
      </xdr:nvSpPr>
      <xdr:spPr>
        <a:xfrm>
          <a:off x="0" y="34180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1939</xdr:row>
      <xdr:rowOff>0</xdr:rowOff>
    </xdr:from>
    <xdr:to>
      <xdr:col>0</xdr:col>
      <xdr:colOff>323850</xdr:colOff>
      <xdr:row>1940</xdr:row>
      <xdr:rowOff>120650</xdr:rowOff>
    </xdr:to>
    <xdr:sp macro="" textlink="">
      <xdr:nvSpPr>
        <xdr:cNvPr id="685" name="Frame 684">
          <a:extLst>
            <a:ext uri="{FF2B5EF4-FFF2-40B4-BE49-F238E27FC236}">
              <a16:creationId xmlns:a16="http://schemas.microsoft.com/office/drawing/2014/main" id="{17F74E2C-AA73-44E9-B561-05465C2976E1}"/>
            </a:ext>
          </a:extLst>
        </xdr:cNvPr>
        <xdr:cNvSpPr/>
      </xdr:nvSpPr>
      <xdr:spPr>
        <a:xfrm>
          <a:off x="0" y="34216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1941</xdr:row>
      <xdr:rowOff>0</xdr:rowOff>
    </xdr:from>
    <xdr:to>
      <xdr:col>0</xdr:col>
      <xdr:colOff>323850</xdr:colOff>
      <xdr:row>1942</xdr:row>
      <xdr:rowOff>120650</xdr:rowOff>
    </xdr:to>
    <xdr:sp macro="" textlink="">
      <xdr:nvSpPr>
        <xdr:cNvPr id="686" name="Frame 685">
          <a:extLst>
            <a:ext uri="{FF2B5EF4-FFF2-40B4-BE49-F238E27FC236}">
              <a16:creationId xmlns:a16="http://schemas.microsoft.com/office/drawing/2014/main" id="{79B97CBA-1E82-4D61-9092-61A69DFE64CE}"/>
            </a:ext>
          </a:extLst>
        </xdr:cNvPr>
        <xdr:cNvSpPr/>
      </xdr:nvSpPr>
      <xdr:spPr>
        <a:xfrm>
          <a:off x="0" y="34253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1943</xdr:row>
      <xdr:rowOff>0</xdr:rowOff>
    </xdr:from>
    <xdr:to>
      <xdr:col>0</xdr:col>
      <xdr:colOff>323850</xdr:colOff>
      <xdr:row>1944</xdr:row>
      <xdr:rowOff>120650</xdr:rowOff>
    </xdr:to>
    <xdr:sp macro="" textlink="">
      <xdr:nvSpPr>
        <xdr:cNvPr id="687" name="Frame 686">
          <a:extLst>
            <a:ext uri="{FF2B5EF4-FFF2-40B4-BE49-F238E27FC236}">
              <a16:creationId xmlns:a16="http://schemas.microsoft.com/office/drawing/2014/main" id="{C7AD815B-D86E-408E-A7A2-8BCDF8855839}"/>
            </a:ext>
          </a:extLst>
        </xdr:cNvPr>
        <xdr:cNvSpPr/>
      </xdr:nvSpPr>
      <xdr:spPr>
        <a:xfrm>
          <a:off x="0" y="34290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1929</xdr:row>
      <xdr:rowOff>0</xdr:rowOff>
    </xdr:from>
    <xdr:to>
      <xdr:col>0</xdr:col>
      <xdr:colOff>323850</xdr:colOff>
      <xdr:row>1930</xdr:row>
      <xdr:rowOff>120650</xdr:rowOff>
    </xdr:to>
    <xdr:sp macro="" textlink="">
      <xdr:nvSpPr>
        <xdr:cNvPr id="688" name="Frame 687">
          <a:extLst>
            <a:ext uri="{FF2B5EF4-FFF2-40B4-BE49-F238E27FC236}">
              <a16:creationId xmlns:a16="http://schemas.microsoft.com/office/drawing/2014/main" id="{0E73A973-AA5F-4E7C-A70E-CD8B9D128F18}"/>
            </a:ext>
          </a:extLst>
        </xdr:cNvPr>
        <xdr:cNvSpPr/>
      </xdr:nvSpPr>
      <xdr:spPr>
        <a:xfrm>
          <a:off x="0" y="35063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1931</xdr:row>
      <xdr:rowOff>0</xdr:rowOff>
    </xdr:from>
    <xdr:to>
      <xdr:col>0</xdr:col>
      <xdr:colOff>323850</xdr:colOff>
      <xdr:row>1932</xdr:row>
      <xdr:rowOff>120650</xdr:rowOff>
    </xdr:to>
    <xdr:sp macro="" textlink="">
      <xdr:nvSpPr>
        <xdr:cNvPr id="689" name="Frame 688">
          <a:extLst>
            <a:ext uri="{FF2B5EF4-FFF2-40B4-BE49-F238E27FC236}">
              <a16:creationId xmlns:a16="http://schemas.microsoft.com/office/drawing/2014/main" id="{4865AADA-1646-4974-A6EA-4EAC7DFC6A02}"/>
            </a:ext>
          </a:extLst>
        </xdr:cNvPr>
        <xdr:cNvSpPr/>
      </xdr:nvSpPr>
      <xdr:spPr>
        <a:xfrm>
          <a:off x="0" y="35100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1933</xdr:row>
      <xdr:rowOff>0</xdr:rowOff>
    </xdr:from>
    <xdr:to>
      <xdr:col>0</xdr:col>
      <xdr:colOff>323850</xdr:colOff>
      <xdr:row>1934</xdr:row>
      <xdr:rowOff>120650</xdr:rowOff>
    </xdr:to>
    <xdr:sp macro="" textlink="">
      <xdr:nvSpPr>
        <xdr:cNvPr id="690" name="Frame 689">
          <a:extLst>
            <a:ext uri="{FF2B5EF4-FFF2-40B4-BE49-F238E27FC236}">
              <a16:creationId xmlns:a16="http://schemas.microsoft.com/office/drawing/2014/main" id="{48973374-EF70-42BD-B6F6-C44875B2645F}"/>
            </a:ext>
          </a:extLst>
        </xdr:cNvPr>
        <xdr:cNvSpPr/>
      </xdr:nvSpPr>
      <xdr:spPr>
        <a:xfrm>
          <a:off x="0" y="35137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1935</xdr:row>
      <xdr:rowOff>0</xdr:rowOff>
    </xdr:from>
    <xdr:to>
      <xdr:col>0</xdr:col>
      <xdr:colOff>323850</xdr:colOff>
      <xdr:row>1936</xdr:row>
      <xdr:rowOff>120650</xdr:rowOff>
    </xdr:to>
    <xdr:sp macro="" textlink="">
      <xdr:nvSpPr>
        <xdr:cNvPr id="691" name="Frame 690">
          <a:extLst>
            <a:ext uri="{FF2B5EF4-FFF2-40B4-BE49-F238E27FC236}">
              <a16:creationId xmlns:a16="http://schemas.microsoft.com/office/drawing/2014/main" id="{E57C82ED-BD9F-46C4-B706-19AED8A53A3E}"/>
            </a:ext>
          </a:extLst>
        </xdr:cNvPr>
        <xdr:cNvSpPr/>
      </xdr:nvSpPr>
      <xdr:spPr>
        <a:xfrm>
          <a:off x="0" y="35173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1108</xdr:row>
      <xdr:rowOff>0</xdr:rowOff>
    </xdr:from>
    <xdr:to>
      <xdr:col>0</xdr:col>
      <xdr:colOff>323850</xdr:colOff>
      <xdr:row>1109</xdr:row>
      <xdr:rowOff>120650</xdr:rowOff>
    </xdr:to>
    <xdr:sp macro="" textlink="">
      <xdr:nvSpPr>
        <xdr:cNvPr id="692" name="Frame 691">
          <a:extLst>
            <a:ext uri="{FF2B5EF4-FFF2-40B4-BE49-F238E27FC236}">
              <a16:creationId xmlns:a16="http://schemas.microsoft.com/office/drawing/2014/main" id="{83CA0E98-6EE8-49EB-AC13-96FE3496491E}"/>
            </a:ext>
          </a:extLst>
        </xdr:cNvPr>
        <xdr:cNvSpPr/>
      </xdr:nvSpPr>
      <xdr:spPr>
        <a:xfrm>
          <a:off x="0" y="19663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1110</xdr:row>
      <xdr:rowOff>0</xdr:rowOff>
    </xdr:from>
    <xdr:to>
      <xdr:col>0</xdr:col>
      <xdr:colOff>323850</xdr:colOff>
      <xdr:row>1111</xdr:row>
      <xdr:rowOff>120650</xdr:rowOff>
    </xdr:to>
    <xdr:sp macro="" textlink="">
      <xdr:nvSpPr>
        <xdr:cNvPr id="693" name="Frame 692">
          <a:extLst>
            <a:ext uri="{FF2B5EF4-FFF2-40B4-BE49-F238E27FC236}">
              <a16:creationId xmlns:a16="http://schemas.microsoft.com/office/drawing/2014/main" id="{C2A6B943-1AAE-4F4F-B38D-E7000914BC43}"/>
            </a:ext>
          </a:extLst>
        </xdr:cNvPr>
        <xdr:cNvSpPr/>
      </xdr:nvSpPr>
      <xdr:spPr>
        <a:xfrm>
          <a:off x="0" y="19700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1112</xdr:row>
      <xdr:rowOff>0</xdr:rowOff>
    </xdr:from>
    <xdr:to>
      <xdr:col>0</xdr:col>
      <xdr:colOff>323850</xdr:colOff>
      <xdr:row>1113</xdr:row>
      <xdr:rowOff>120650</xdr:rowOff>
    </xdr:to>
    <xdr:sp macro="" textlink="">
      <xdr:nvSpPr>
        <xdr:cNvPr id="694" name="Frame 693">
          <a:extLst>
            <a:ext uri="{FF2B5EF4-FFF2-40B4-BE49-F238E27FC236}">
              <a16:creationId xmlns:a16="http://schemas.microsoft.com/office/drawing/2014/main" id="{AA0E2282-4753-4F73-BDCB-C766510464F5}"/>
            </a:ext>
          </a:extLst>
        </xdr:cNvPr>
        <xdr:cNvSpPr/>
      </xdr:nvSpPr>
      <xdr:spPr>
        <a:xfrm>
          <a:off x="0" y="19737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1114</xdr:row>
      <xdr:rowOff>0</xdr:rowOff>
    </xdr:from>
    <xdr:to>
      <xdr:col>0</xdr:col>
      <xdr:colOff>323850</xdr:colOff>
      <xdr:row>1115</xdr:row>
      <xdr:rowOff>120650</xdr:rowOff>
    </xdr:to>
    <xdr:sp macro="" textlink="">
      <xdr:nvSpPr>
        <xdr:cNvPr id="695" name="Frame 694">
          <a:extLst>
            <a:ext uri="{FF2B5EF4-FFF2-40B4-BE49-F238E27FC236}">
              <a16:creationId xmlns:a16="http://schemas.microsoft.com/office/drawing/2014/main" id="{5D8401D7-2296-4310-8106-3EE8237AF7C6}"/>
            </a:ext>
          </a:extLst>
        </xdr:cNvPr>
        <xdr:cNvSpPr/>
      </xdr:nvSpPr>
      <xdr:spPr>
        <a:xfrm>
          <a:off x="0" y="19773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1317</xdr:row>
      <xdr:rowOff>0</xdr:rowOff>
    </xdr:from>
    <xdr:to>
      <xdr:col>0</xdr:col>
      <xdr:colOff>323850</xdr:colOff>
      <xdr:row>1318</xdr:row>
      <xdr:rowOff>120650</xdr:rowOff>
    </xdr:to>
    <xdr:sp macro="" textlink="">
      <xdr:nvSpPr>
        <xdr:cNvPr id="696" name="Frame 695">
          <a:extLst>
            <a:ext uri="{FF2B5EF4-FFF2-40B4-BE49-F238E27FC236}">
              <a16:creationId xmlns:a16="http://schemas.microsoft.com/office/drawing/2014/main" id="{CDE7DE55-13EE-4488-846F-36E13BCAB5DD}"/>
            </a:ext>
          </a:extLst>
        </xdr:cNvPr>
        <xdr:cNvSpPr/>
      </xdr:nvSpPr>
      <xdr:spPr>
        <a:xfrm>
          <a:off x="0" y="23600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1319</xdr:row>
      <xdr:rowOff>0</xdr:rowOff>
    </xdr:from>
    <xdr:to>
      <xdr:col>0</xdr:col>
      <xdr:colOff>323850</xdr:colOff>
      <xdr:row>1320</xdr:row>
      <xdr:rowOff>120650</xdr:rowOff>
    </xdr:to>
    <xdr:sp macro="" textlink="">
      <xdr:nvSpPr>
        <xdr:cNvPr id="697" name="Frame 696">
          <a:extLst>
            <a:ext uri="{FF2B5EF4-FFF2-40B4-BE49-F238E27FC236}">
              <a16:creationId xmlns:a16="http://schemas.microsoft.com/office/drawing/2014/main" id="{E0E2951F-4895-43D3-9F96-C9374F4E2B7D}"/>
            </a:ext>
          </a:extLst>
        </xdr:cNvPr>
        <xdr:cNvSpPr/>
      </xdr:nvSpPr>
      <xdr:spPr>
        <a:xfrm>
          <a:off x="0" y="23637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1958</xdr:row>
      <xdr:rowOff>177800</xdr:rowOff>
    </xdr:from>
    <xdr:to>
      <xdr:col>0</xdr:col>
      <xdr:colOff>330200</xdr:colOff>
      <xdr:row>1960</xdr:row>
      <xdr:rowOff>114300</xdr:rowOff>
    </xdr:to>
    <xdr:sp macro="" textlink="">
      <xdr:nvSpPr>
        <xdr:cNvPr id="698" name="Frame 697">
          <a:extLst>
            <a:ext uri="{FF2B5EF4-FFF2-40B4-BE49-F238E27FC236}">
              <a16:creationId xmlns:a16="http://schemas.microsoft.com/office/drawing/2014/main" id="{4616E0F8-4634-4F09-A11A-487AA2887A8F}"/>
            </a:ext>
          </a:extLst>
        </xdr:cNvPr>
        <xdr:cNvSpPr/>
      </xdr:nvSpPr>
      <xdr:spPr>
        <a:xfrm>
          <a:off x="6350" y="346576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1961</xdr:row>
      <xdr:rowOff>0</xdr:rowOff>
    </xdr:from>
    <xdr:to>
      <xdr:col>0</xdr:col>
      <xdr:colOff>323850</xdr:colOff>
      <xdr:row>1962</xdr:row>
      <xdr:rowOff>120650</xdr:rowOff>
    </xdr:to>
    <xdr:sp macro="" textlink="">
      <xdr:nvSpPr>
        <xdr:cNvPr id="699" name="Frame 698">
          <a:extLst>
            <a:ext uri="{FF2B5EF4-FFF2-40B4-BE49-F238E27FC236}">
              <a16:creationId xmlns:a16="http://schemas.microsoft.com/office/drawing/2014/main" id="{F74B2185-7A4F-4788-9C46-438C6C60CBA8}"/>
            </a:ext>
          </a:extLst>
        </xdr:cNvPr>
        <xdr:cNvSpPr/>
      </xdr:nvSpPr>
      <xdr:spPr>
        <a:xfrm>
          <a:off x="0" y="34695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1963</xdr:row>
      <xdr:rowOff>0</xdr:rowOff>
    </xdr:from>
    <xdr:to>
      <xdr:col>0</xdr:col>
      <xdr:colOff>323850</xdr:colOff>
      <xdr:row>1964</xdr:row>
      <xdr:rowOff>120650</xdr:rowOff>
    </xdr:to>
    <xdr:sp macro="" textlink="">
      <xdr:nvSpPr>
        <xdr:cNvPr id="700" name="Frame 699">
          <a:extLst>
            <a:ext uri="{FF2B5EF4-FFF2-40B4-BE49-F238E27FC236}">
              <a16:creationId xmlns:a16="http://schemas.microsoft.com/office/drawing/2014/main" id="{9F630974-A839-48D1-A2FF-15729C391CA4}"/>
            </a:ext>
          </a:extLst>
        </xdr:cNvPr>
        <xdr:cNvSpPr/>
      </xdr:nvSpPr>
      <xdr:spPr>
        <a:xfrm>
          <a:off x="0" y="34731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1965</xdr:row>
      <xdr:rowOff>0</xdr:rowOff>
    </xdr:from>
    <xdr:to>
      <xdr:col>0</xdr:col>
      <xdr:colOff>323850</xdr:colOff>
      <xdr:row>1966</xdr:row>
      <xdr:rowOff>120650</xdr:rowOff>
    </xdr:to>
    <xdr:sp macro="" textlink="">
      <xdr:nvSpPr>
        <xdr:cNvPr id="719" name="Frame 718">
          <a:extLst>
            <a:ext uri="{FF2B5EF4-FFF2-40B4-BE49-F238E27FC236}">
              <a16:creationId xmlns:a16="http://schemas.microsoft.com/office/drawing/2014/main" id="{93E37601-72F2-425C-BD82-5D1CDBC5DFC3}"/>
            </a:ext>
          </a:extLst>
        </xdr:cNvPr>
        <xdr:cNvSpPr/>
      </xdr:nvSpPr>
      <xdr:spPr>
        <a:xfrm>
          <a:off x="0" y="35799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1985</xdr:row>
      <xdr:rowOff>177800</xdr:rowOff>
    </xdr:from>
    <xdr:to>
      <xdr:col>0</xdr:col>
      <xdr:colOff>330200</xdr:colOff>
      <xdr:row>1987</xdr:row>
      <xdr:rowOff>114300</xdr:rowOff>
    </xdr:to>
    <xdr:sp macro="" textlink="">
      <xdr:nvSpPr>
        <xdr:cNvPr id="720" name="Frame 719">
          <a:extLst>
            <a:ext uri="{FF2B5EF4-FFF2-40B4-BE49-F238E27FC236}">
              <a16:creationId xmlns:a16="http://schemas.microsoft.com/office/drawing/2014/main" id="{7FDD94C7-6437-4761-8C8E-EDE32A0B72FD}"/>
            </a:ext>
          </a:extLst>
        </xdr:cNvPr>
        <xdr:cNvSpPr/>
      </xdr:nvSpPr>
      <xdr:spPr>
        <a:xfrm>
          <a:off x="6350" y="346576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1988</xdr:row>
      <xdr:rowOff>0</xdr:rowOff>
    </xdr:from>
    <xdr:to>
      <xdr:col>0</xdr:col>
      <xdr:colOff>323850</xdr:colOff>
      <xdr:row>1989</xdr:row>
      <xdr:rowOff>120650</xdr:rowOff>
    </xdr:to>
    <xdr:sp macro="" textlink="">
      <xdr:nvSpPr>
        <xdr:cNvPr id="721" name="Frame 720">
          <a:extLst>
            <a:ext uri="{FF2B5EF4-FFF2-40B4-BE49-F238E27FC236}">
              <a16:creationId xmlns:a16="http://schemas.microsoft.com/office/drawing/2014/main" id="{4909B695-D1A5-41B8-9FE2-AADD9E54AC8E}"/>
            </a:ext>
          </a:extLst>
        </xdr:cNvPr>
        <xdr:cNvSpPr/>
      </xdr:nvSpPr>
      <xdr:spPr>
        <a:xfrm>
          <a:off x="0" y="34695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1990</xdr:row>
      <xdr:rowOff>0</xdr:rowOff>
    </xdr:from>
    <xdr:to>
      <xdr:col>0</xdr:col>
      <xdr:colOff>323850</xdr:colOff>
      <xdr:row>1991</xdr:row>
      <xdr:rowOff>120650</xdr:rowOff>
    </xdr:to>
    <xdr:sp macro="" textlink="">
      <xdr:nvSpPr>
        <xdr:cNvPr id="722" name="Frame 721">
          <a:extLst>
            <a:ext uri="{FF2B5EF4-FFF2-40B4-BE49-F238E27FC236}">
              <a16:creationId xmlns:a16="http://schemas.microsoft.com/office/drawing/2014/main" id="{FD2AC08B-7896-4154-8A81-3832782AA9F5}"/>
            </a:ext>
          </a:extLst>
        </xdr:cNvPr>
        <xdr:cNvSpPr/>
      </xdr:nvSpPr>
      <xdr:spPr>
        <a:xfrm>
          <a:off x="0" y="34731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1992</xdr:row>
      <xdr:rowOff>0</xdr:rowOff>
    </xdr:from>
    <xdr:to>
      <xdr:col>0</xdr:col>
      <xdr:colOff>323850</xdr:colOff>
      <xdr:row>1993</xdr:row>
      <xdr:rowOff>120650</xdr:rowOff>
    </xdr:to>
    <xdr:sp macro="" textlink="">
      <xdr:nvSpPr>
        <xdr:cNvPr id="723" name="Frame 722">
          <a:extLst>
            <a:ext uri="{FF2B5EF4-FFF2-40B4-BE49-F238E27FC236}">
              <a16:creationId xmlns:a16="http://schemas.microsoft.com/office/drawing/2014/main" id="{EF695BA3-E699-4462-868D-811344537C14}"/>
            </a:ext>
          </a:extLst>
        </xdr:cNvPr>
        <xdr:cNvSpPr/>
      </xdr:nvSpPr>
      <xdr:spPr>
        <a:xfrm>
          <a:off x="0" y="34768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1994</xdr:row>
      <xdr:rowOff>0</xdr:rowOff>
    </xdr:from>
    <xdr:to>
      <xdr:col>0</xdr:col>
      <xdr:colOff>323850</xdr:colOff>
      <xdr:row>1995</xdr:row>
      <xdr:rowOff>120650</xdr:rowOff>
    </xdr:to>
    <xdr:sp macro="" textlink="">
      <xdr:nvSpPr>
        <xdr:cNvPr id="724" name="Frame 723">
          <a:extLst>
            <a:ext uri="{FF2B5EF4-FFF2-40B4-BE49-F238E27FC236}">
              <a16:creationId xmlns:a16="http://schemas.microsoft.com/office/drawing/2014/main" id="{1646C76E-33C2-4F5D-B836-F8BADC8F359A}"/>
            </a:ext>
          </a:extLst>
        </xdr:cNvPr>
        <xdr:cNvSpPr/>
      </xdr:nvSpPr>
      <xdr:spPr>
        <a:xfrm>
          <a:off x="0" y="34805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1996</xdr:row>
      <xdr:rowOff>0</xdr:rowOff>
    </xdr:from>
    <xdr:to>
      <xdr:col>0</xdr:col>
      <xdr:colOff>323850</xdr:colOff>
      <xdr:row>1997</xdr:row>
      <xdr:rowOff>120650</xdr:rowOff>
    </xdr:to>
    <xdr:sp macro="" textlink="">
      <xdr:nvSpPr>
        <xdr:cNvPr id="725" name="Frame 724">
          <a:extLst>
            <a:ext uri="{FF2B5EF4-FFF2-40B4-BE49-F238E27FC236}">
              <a16:creationId xmlns:a16="http://schemas.microsoft.com/office/drawing/2014/main" id="{C460BDBC-CF1C-489A-A640-92BF9A079E06}"/>
            </a:ext>
          </a:extLst>
        </xdr:cNvPr>
        <xdr:cNvSpPr/>
      </xdr:nvSpPr>
      <xdr:spPr>
        <a:xfrm>
          <a:off x="0" y="34842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1998</xdr:row>
      <xdr:rowOff>0</xdr:rowOff>
    </xdr:from>
    <xdr:to>
      <xdr:col>0</xdr:col>
      <xdr:colOff>323850</xdr:colOff>
      <xdr:row>1999</xdr:row>
      <xdr:rowOff>120650</xdr:rowOff>
    </xdr:to>
    <xdr:sp macro="" textlink="">
      <xdr:nvSpPr>
        <xdr:cNvPr id="726" name="Frame 725">
          <a:extLst>
            <a:ext uri="{FF2B5EF4-FFF2-40B4-BE49-F238E27FC236}">
              <a16:creationId xmlns:a16="http://schemas.microsoft.com/office/drawing/2014/main" id="{872D1F71-9781-4FD9-BF83-B5846038607D}"/>
            </a:ext>
          </a:extLst>
        </xdr:cNvPr>
        <xdr:cNvSpPr/>
      </xdr:nvSpPr>
      <xdr:spPr>
        <a:xfrm>
          <a:off x="0" y="34879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2000</xdr:row>
      <xdr:rowOff>0</xdr:rowOff>
    </xdr:from>
    <xdr:to>
      <xdr:col>0</xdr:col>
      <xdr:colOff>323850</xdr:colOff>
      <xdr:row>2001</xdr:row>
      <xdr:rowOff>120650</xdr:rowOff>
    </xdr:to>
    <xdr:sp macro="" textlink="">
      <xdr:nvSpPr>
        <xdr:cNvPr id="727" name="Frame 726">
          <a:extLst>
            <a:ext uri="{FF2B5EF4-FFF2-40B4-BE49-F238E27FC236}">
              <a16:creationId xmlns:a16="http://schemas.microsoft.com/office/drawing/2014/main" id="{640AAE01-2565-4CF4-85CE-2769BC0CF558}"/>
            </a:ext>
          </a:extLst>
        </xdr:cNvPr>
        <xdr:cNvSpPr/>
      </xdr:nvSpPr>
      <xdr:spPr>
        <a:xfrm>
          <a:off x="0" y="34916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2002</xdr:row>
      <xdr:rowOff>0</xdr:rowOff>
    </xdr:from>
    <xdr:to>
      <xdr:col>0</xdr:col>
      <xdr:colOff>323850</xdr:colOff>
      <xdr:row>2003</xdr:row>
      <xdr:rowOff>120650</xdr:rowOff>
    </xdr:to>
    <xdr:sp macro="" textlink="">
      <xdr:nvSpPr>
        <xdr:cNvPr id="728" name="Frame 727">
          <a:extLst>
            <a:ext uri="{FF2B5EF4-FFF2-40B4-BE49-F238E27FC236}">
              <a16:creationId xmlns:a16="http://schemas.microsoft.com/office/drawing/2014/main" id="{CAE435EA-3A9F-4E6B-B3C9-C3FAB61F2F7D}"/>
            </a:ext>
          </a:extLst>
        </xdr:cNvPr>
        <xdr:cNvSpPr/>
      </xdr:nvSpPr>
      <xdr:spPr>
        <a:xfrm>
          <a:off x="0" y="34952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2004</xdr:row>
      <xdr:rowOff>0</xdr:rowOff>
    </xdr:from>
    <xdr:to>
      <xdr:col>0</xdr:col>
      <xdr:colOff>323850</xdr:colOff>
      <xdr:row>2005</xdr:row>
      <xdr:rowOff>120650</xdr:rowOff>
    </xdr:to>
    <xdr:sp macro="" textlink="">
      <xdr:nvSpPr>
        <xdr:cNvPr id="729" name="Frame 728">
          <a:extLst>
            <a:ext uri="{FF2B5EF4-FFF2-40B4-BE49-F238E27FC236}">
              <a16:creationId xmlns:a16="http://schemas.microsoft.com/office/drawing/2014/main" id="{88D52A04-8292-460D-A30F-62920C9E1D41}"/>
            </a:ext>
          </a:extLst>
        </xdr:cNvPr>
        <xdr:cNvSpPr/>
      </xdr:nvSpPr>
      <xdr:spPr>
        <a:xfrm>
          <a:off x="0" y="34989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2006</xdr:row>
      <xdr:rowOff>0</xdr:rowOff>
    </xdr:from>
    <xdr:to>
      <xdr:col>0</xdr:col>
      <xdr:colOff>323850</xdr:colOff>
      <xdr:row>2007</xdr:row>
      <xdr:rowOff>120650</xdr:rowOff>
    </xdr:to>
    <xdr:sp macro="" textlink="">
      <xdr:nvSpPr>
        <xdr:cNvPr id="730" name="Frame 729">
          <a:extLst>
            <a:ext uri="{FF2B5EF4-FFF2-40B4-BE49-F238E27FC236}">
              <a16:creationId xmlns:a16="http://schemas.microsoft.com/office/drawing/2014/main" id="{16E06423-7C05-4F06-93E5-3A89C42C8558}"/>
            </a:ext>
          </a:extLst>
        </xdr:cNvPr>
        <xdr:cNvSpPr/>
      </xdr:nvSpPr>
      <xdr:spPr>
        <a:xfrm>
          <a:off x="0" y="35026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2026</xdr:row>
      <xdr:rowOff>177800</xdr:rowOff>
    </xdr:from>
    <xdr:to>
      <xdr:col>0</xdr:col>
      <xdr:colOff>330200</xdr:colOff>
      <xdr:row>2028</xdr:row>
      <xdr:rowOff>114300</xdr:rowOff>
    </xdr:to>
    <xdr:sp macro="" textlink="">
      <xdr:nvSpPr>
        <xdr:cNvPr id="741" name="Frame 740">
          <a:extLst>
            <a:ext uri="{FF2B5EF4-FFF2-40B4-BE49-F238E27FC236}">
              <a16:creationId xmlns:a16="http://schemas.microsoft.com/office/drawing/2014/main" id="{6197F0AE-A43D-42E3-9F1F-D02F8165EFBE}"/>
            </a:ext>
          </a:extLst>
        </xdr:cNvPr>
        <xdr:cNvSpPr/>
      </xdr:nvSpPr>
      <xdr:spPr>
        <a:xfrm>
          <a:off x="6350" y="36184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2029</xdr:row>
      <xdr:rowOff>0</xdr:rowOff>
    </xdr:from>
    <xdr:to>
      <xdr:col>0</xdr:col>
      <xdr:colOff>323850</xdr:colOff>
      <xdr:row>2030</xdr:row>
      <xdr:rowOff>120650</xdr:rowOff>
    </xdr:to>
    <xdr:sp macro="" textlink="">
      <xdr:nvSpPr>
        <xdr:cNvPr id="742" name="Frame 741">
          <a:extLst>
            <a:ext uri="{FF2B5EF4-FFF2-40B4-BE49-F238E27FC236}">
              <a16:creationId xmlns:a16="http://schemas.microsoft.com/office/drawing/2014/main" id="{0D340594-DB9F-423A-829E-B01226185390}"/>
            </a:ext>
          </a:extLst>
        </xdr:cNvPr>
        <xdr:cNvSpPr/>
      </xdr:nvSpPr>
      <xdr:spPr>
        <a:xfrm>
          <a:off x="0" y="362223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2031</xdr:row>
      <xdr:rowOff>0</xdr:rowOff>
    </xdr:from>
    <xdr:to>
      <xdr:col>0</xdr:col>
      <xdr:colOff>323850</xdr:colOff>
      <xdr:row>2032</xdr:row>
      <xdr:rowOff>120650</xdr:rowOff>
    </xdr:to>
    <xdr:sp macro="" textlink="">
      <xdr:nvSpPr>
        <xdr:cNvPr id="743" name="Frame 742">
          <a:extLst>
            <a:ext uri="{FF2B5EF4-FFF2-40B4-BE49-F238E27FC236}">
              <a16:creationId xmlns:a16="http://schemas.microsoft.com/office/drawing/2014/main" id="{610337C7-9307-44A2-8D8B-E41CFEA3D1F8}"/>
            </a:ext>
          </a:extLst>
        </xdr:cNvPr>
        <xdr:cNvSpPr/>
      </xdr:nvSpPr>
      <xdr:spPr>
        <a:xfrm>
          <a:off x="0" y="362591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2033</xdr:row>
      <xdr:rowOff>0</xdr:rowOff>
    </xdr:from>
    <xdr:to>
      <xdr:col>0</xdr:col>
      <xdr:colOff>323850</xdr:colOff>
      <xdr:row>2034</xdr:row>
      <xdr:rowOff>120650</xdr:rowOff>
    </xdr:to>
    <xdr:sp macro="" textlink="">
      <xdr:nvSpPr>
        <xdr:cNvPr id="744" name="Frame 743">
          <a:extLst>
            <a:ext uri="{FF2B5EF4-FFF2-40B4-BE49-F238E27FC236}">
              <a16:creationId xmlns:a16="http://schemas.microsoft.com/office/drawing/2014/main" id="{FF794E74-FC96-4163-8E35-9390DC272867}"/>
            </a:ext>
          </a:extLst>
        </xdr:cNvPr>
        <xdr:cNvSpPr/>
      </xdr:nvSpPr>
      <xdr:spPr>
        <a:xfrm>
          <a:off x="0" y="362959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2035</xdr:row>
      <xdr:rowOff>0</xdr:rowOff>
    </xdr:from>
    <xdr:to>
      <xdr:col>0</xdr:col>
      <xdr:colOff>323850</xdr:colOff>
      <xdr:row>2036</xdr:row>
      <xdr:rowOff>120650</xdr:rowOff>
    </xdr:to>
    <xdr:sp macro="" textlink="">
      <xdr:nvSpPr>
        <xdr:cNvPr id="745" name="Frame 744">
          <a:extLst>
            <a:ext uri="{FF2B5EF4-FFF2-40B4-BE49-F238E27FC236}">
              <a16:creationId xmlns:a16="http://schemas.microsoft.com/office/drawing/2014/main" id="{94300523-749F-438A-B164-B840267C464E}"/>
            </a:ext>
          </a:extLst>
        </xdr:cNvPr>
        <xdr:cNvSpPr/>
      </xdr:nvSpPr>
      <xdr:spPr>
        <a:xfrm>
          <a:off x="0" y="363327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2037</xdr:row>
      <xdr:rowOff>0</xdr:rowOff>
    </xdr:from>
    <xdr:to>
      <xdr:col>0</xdr:col>
      <xdr:colOff>323850</xdr:colOff>
      <xdr:row>2038</xdr:row>
      <xdr:rowOff>120650</xdr:rowOff>
    </xdr:to>
    <xdr:sp macro="" textlink="">
      <xdr:nvSpPr>
        <xdr:cNvPr id="746" name="Frame 745">
          <a:extLst>
            <a:ext uri="{FF2B5EF4-FFF2-40B4-BE49-F238E27FC236}">
              <a16:creationId xmlns:a16="http://schemas.microsoft.com/office/drawing/2014/main" id="{3AD6769A-9A55-4899-BA95-B3CC5C264073}"/>
            </a:ext>
          </a:extLst>
        </xdr:cNvPr>
        <xdr:cNvSpPr/>
      </xdr:nvSpPr>
      <xdr:spPr>
        <a:xfrm>
          <a:off x="0" y="363696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2039</xdr:row>
      <xdr:rowOff>0</xdr:rowOff>
    </xdr:from>
    <xdr:to>
      <xdr:col>0</xdr:col>
      <xdr:colOff>323850</xdr:colOff>
      <xdr:row>2040</xdr:row>
      <xdr:rowOff>120650</xdr:rowOff>
    </xdr:to>
    <xdr:sp macro="" textlink="">
      <xdr:nvSpPr>
        <xdr:cNvPr id="747" name="Frame 746">
          <a:extLst>
            <a:ext uri="{FF2B5EF4-FFF2-40B4-BE49-F238E27FC236}">
              <a16:creationId xmlns:a16="http://schemas.microsoft.com/office/drawing/2014/main" id="{99E0705D-6A1C-40A4-B5ED-77B873F19749}"/>
            </a:ext>
          </a:extLst>
        </xdr:cNvPr>
        <xdr:cNvSpPr/>
      </xdr:nvSpPr>
      <xdr:spPr>
        <a:xfrm>
          <a:off x="0" y="364064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2041</xdr:row>
      <xdr:rowOff>0</xdr:rowOff>
    </xdr:from>
    <xdr:to>
      <xdr:col>0</xdr:col>
      <xdr:colOff>323850</xdr:colOff>
      <xdr:row>2042</xdr:row>
      <xdr:rowOff>120650</xdr:rowOff>
    </xdr:to>
    <xdr:sp macro="" textlink="">
      <xdr:nvSpPr>
        <xdr:cNvPr id="748" name="Frame 747">
          <a:extLst>
            <a:ext uri="{FF2B5EF4-FFF2-40B4-BE49-F238E27FC236}">
              <a16:creationId xmlns:a16="http://schemas.microsoft.com/office/drawing/2014/main" id="{2B4E6D45-0859-4227-BF4E-11F0C523808F}"/>
            </a:ext>
          </a:extLst>
        </xdr:cNvPr>
        <xdr:cNvSpPr/>
      </xdr:nvSpPr>
      <xdr:spPr>
        <a:xfrm>
          <a:off x="0" y="36443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2043</xdr:row>
      <xdr:rowOff>0</xdr:rowOff>
    </xdr:from>
    <xdr:to>
      <xdr:col>0</xdr:col>
      <xdr:colOff>323850</xdr:colOff>
      <xdr:row>2044</xdr:row>
      <xdr:rowOff>120650</xdr:rowOff>
    </xdr:to>
    <xdr:sp macro="" textlink="">
      <xdr:nvSpPr>
        <xdr:cNvPr id="749" name="Frame 748">
          <a:extLst>
            <a:ext uri="{FF2B5EF4-FFF2-40B4-BE49-F238E27FC236}">
              <a16:creationId xmlns:a16="http://schemas.microsoft.com/office/drawing/2014/main" id="{0DB10577-B75F-4E0A-AAB6-A514F1892808}"/>
            </a:ext>
          </a:extLst>
        </xdr:cNvPr>
        <xdr:cNvSpPr/>
      </xdr:nvSpPr>
      <xdr:spPr>
        <a:xfrm>
          <a:off x="0" y="36480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2045</xdr:row>
      <xdr:rowOff>0</xdr:rowOff>
    </xdr:from>
    <xdr:to>
      <xdr:col>0</xdr:col>
      <xdr:colOff>323850</xdr:colOff>
      <xdr:row>2046</xdr:row>
      <xdr:rowOff>120650</xdr:rowOff>
    </xdr:to>
    <xdr:sp macro="" textlink="">
      <xdr:nvSpPr>
        <xdr:cNvPr id="750" name="Frame 749">
          <a:extLst>
            <a:ext uri="{FF2B5EF4-FFF2-40B4-BE49-F238E27FC236}">
              <a16:creationId xmlns:a16="http://schemas.microsoft.com/office/drawing/2014/main" id="{B288C130-31AD-4022-BA45-1FA02B93BB02}"/>
            </a:ext>
          </a:extLst>
        </xdr:cNvPr>
        <xdr:cNvSpPr/>
      </xdr:nvSpPr>
      <xdr:spPr>
        <a:xfrm>
          <a:off x="0" y="36516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2047</xdr:row>
      <xdr:rowOff>0</xdr:rowOff>
    </xdr:from>
    <xdr:to>
      <xdr:col>0</xdr:col>
      <xdr:colOff>323850</xdr:colOff>
      <xdr:row>2048</xdr:row>
      <xdr:rowOff>120650</xdr:rowOff>
    </xdr:to>
    <xdr:sp macro="" textlink="">
      <xdr:nvSpPr>
        <xdr:cNvPr id="751" name="Frame 750">
          <a:extLst>
            <a:ext uri="{FF2B5EF4-FFF2-40B4-BE49-F238E27FC236}">
              <a16:creationId xmlns:a16="http://schemas.microsoft.com/office/drawing/2014/main" id="{04D617FF-9513-4B7E-83AE-B686E4D94CBB}"/>
            </a:ext>
          </a:extLst>
        </xdr:cNvPr>
        <xdr:cNvSpPr/>
      </xdr:nvSpPr>
      <xdr:spPr>
        <a:xfrm>
          <a:off x="0" y="36553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2049</xdr:row>
      <xdr:rowOff>0</xdr:rowOff>
    </xdr:from>
    <xdr:to>
      <xdr:col>0</xdr:col>
      <xdr:colOff>323850</xdr:colOff>
      <xdr:row>2050</xdr:row>
      <xdr:rowOff>120650</xdr:rowOff>
    </xdr:to>
    <xdr:sp macro="" textlink="">
      <xdr:nvSpPr>
        <xdr:cNvPr id="752" name="Frame 751">
          <a:extLst>
            <a:ext uri="{FF2B5EF4-FFF2-40B4-BE49-F238E27FC236}">
              <a16:creationId xmlns:a16="http://schemas.microsoft.com/office/drawing/2014/main" id="{AD822252-A189-40C3-A17C-D4728C40052D}"/>
            </a:ext>
          </a:extLst>
        </xdr:cNvPr>
        <xdr:cNvSpPr/>
      </xdr:nvSpPr>
      <xdr:spPr>
        <a:xfrm>
          <a:off x="0" y="37363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2051</xdr:row>
      <xdr:rowOff>0</xdr:rowOff>
    </xdr:from>
    <xdr:to>
      <xdr:col>0</xdr:col>
      <xdr:colOff>323850</xdr:colOff>
      <xdr:row>2052</xdr:row>
      <xdr:rowOff>120650</xdr:rowOff>
    </xdr:to>
    <xdr:sp macro="" textlink="">
      <xdr:nvSpPr>
        <xdr:cNvPr id="753" name="Frame 752">
          <a:extLst>
            <a:ext uri="{FF2B5EF4-FFF2-40B4-BE49-F238E27FC236}">
              <a16:creationId xmlns:a16="http://schemas.microsoft.com/office/drawing/2014/main" id="{67FFA42E-C2DD-492E-B786-D73907872FA5}"/>
            </a:ext>
          </a:extLst>
        </xdr:cNvPr>
        <xdr:cNvSpPr/>
      </xdr:nvSpPr>
      <xdr:spPr>
        <a:xfrm>
          <a:off x="0" y="37400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2065</xdr:row>
      <xdr:rowOff>177800</xdr:rowOff>
    </xdr:from>
    <xdr:to>
      <xdr:col>0</xdr:col>
      <xdr:colOff>330200</xdr:colOff>
      <xdr:row>2067</xdr:row>
      <xdr:rowOff>114300</xdr:rowOff>
    </xdr:to>
    <xdr:sp macro="" textlink="">
      <xdr:nvSpPr>
        <xdr:cNvPr id="754" name="Frame 753">
          <a:extLst>
            <a:ext uri="{FF2B5EF4-FFF2-40B4-BE49-F238E27FC236}">
              <a16:creationId xmlns:a16="http://schemas.microsoft.com/office/drawing/2014/main" id="{218287EE-1DA0-4994-80DD-30B0D3FCFAA2}"/>
            </a:ext>
          </a:extLst>
        </xdr:cNvPr>
        <xdr:cNvSpPr/>
      </xdr:nvSpPr>
      <xdr:spPr>
        <a:xfrm>
          <a:off x="6350" y="36957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2068</xdr:row>
      <xdr:rowOff>0</xdr:rowOff>
    </xdr:from>
    <xdr:to>
      <xdr:col>0</xdr:col>
      <xdr:colOff>323850</xdr:colOff>
      <xdr:row>2069</xdr:row>
      <xdr:rowOff>120650</xdr:rowOff>
    </xdr:to>
    <xdr:sp macro="" textlink="">
      <xdr:nvSpPr>
        <xdr:cNvPr id="755" name="Frame 754">
          <a:extLst>
            <a:ext uri="{FF2B5EF4-FFF2-40B4-BE49-F238E27FC236}">
              <a16:creationId xmlns:a16="http://schemas.microsoft.com/office/drawing/2014/main" id="{CAB5EB34-2BA4-4240-9187-E51EF17FF0BF}"/>
            </a:ext>
          </a:extLst>
        </xdr:cNvPr>
        <xdr:cNvSpPr/>
      </xdr:nvSpPr>
      <xdr:spPr>
        <a:xfrm>
          <a:off x="0" y="36995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2070</xdr:row>
      <xdr:rowOff>0</xdr:rowOff>
    </xdr:from>
    <xdr:to>
      <xdr:col>0</xdr:col>
      <xdr:colOff>323850</xdr:colOff>
      <xdr:row>2071</xdr:row>
      <xdr:rowOff>120650</xdr:rowOff>
    </xdr:to>
    <xdr:sp macro="" textlink="">
      <xdr:nvSpPr>
        <xdr:cNvPr id="756" name="Frame 755">
          <a:extLst>
            <a:ext uri="{FF2B5EF4-FFF2-40B4-BE49-F238E27FC236}">
              <a16:creationId xmlns:a16="http://schemas.microsoft.com/office/drawing/2014/main" id="{772EB913-88CA-4BC3-A70C-737B9E47E8D9}"/>
            </a:ext>
          </a:extLst>
        </xdr:cNvPr>
        <xdr:cNvSpPr/>
      </xdr:nvSpPr>
      <xdr:spPr>
        <a:xfrm>
          <a:off x="0" y="37031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2072</xdr:row>
      <xdr:rowOff>0</xdr:rowOff>
    </xdr:from>
    <xdr:to>
      <xdr:col>0</xdr:col>
      <xdr:colOff>323850</xdr:colOff>
      <xdr:row>2073</xdr:row>
      <xdr:rowOff>120650</xdr:rowOff>
    </xdr:to>
    <xdr:sp macro="" textlink="">
      <xdr:nvSpPr>
        <xdr:cNvPr id="757" name="Frame 756">
          <a:extLst>
            <a:ext uri="{FF2B5EF4-FFF2-40B4-BE49-F238E27FC236}">
              <a16:creationId xmlns:a16="http://schemas.microsoft.com/office/drawing/2014/main" id="{0676B144-71DD-4C68-B1B4-2444C0A8C381}"/>
            </a:ext>
          </a:extLst>
        </xdr:cNvPr>
        <xdr:cNvSpPr/>
      </xdr:nvSpPr>
      <xdr:spPr>
        <a:xfrm>
          <a:off x="0" y="37068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2074</xdr:row>
      <xdr:rowOff>0</xdr:rowOff>
    </xdr:from>
    <xdr:to>
      <xdr:col>0</xdr:col>
      <xdr:colOff>323850</xdr:colOff>
      <xdr:row>2075</xdr:row>
      <xdr:rowOff>120650</xdr:rowOff>
    </xdr:to>
    <xdr:sp macro="" textlink="">
      <xdr:nvSpPr>
        <xdr:cNvPr id="758" name="Frame 757">
          <a:extLst>
            <a:ext uri="{FF2B5EF4-FFF2-40B4-BE49-F238E27FC236}">
              <a16:creationId xmlns:a16="http://schemas.microsoft.com/office/drawing/2014/main" id="{08032762-0EFE-4F94-B15C-7A30D2AC5466}"/>
            </a:ext>
          </a:extLst>
        </xdr:cNvPr>
        <xdr:cNvSpPr/>
      </xdr:nvSpPr>
      <xdr:spPr>
        <a:xfrm>
          <a:off x="0" y="37105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2076</xdr:row>
      <xdr:rowOff>0</xdr:rowOff>
    </xdr:from>
    <xdr:to>
      <xdr:col>0</xdr:col>
      <xdr:colOff>323850</xdr:colOff>
      <xdr:row>2077</xdr:row>
      <xdr:rowOff>120650</xdr:rowOff>
    </xdr:to>
    <xdr:sp macro="" textlink="">
      <xdr:nvSpPr>
        <xdr:cNvPr id="759" name="Frame 758">
          <a:extLst>
            <a:ext uri="{FF2B5EF4-FFF2-40B4-BE49-F238E27FC236}">
              <a16:creationId xmlns:a16="http://schemas.microsoft.com/office/drawing/2014/main" id="{6690F213-48CA-45C3-9CC4-12E2E643A41B}"/>
            </a:ext>
          </a:extLst>
        </xdr:cNvPr>
        <xdr:cNvSpPr/>
      </xdr:nvSpPr>
      <xdr:spPr>
        <a:xfrm>
          <a:off x="0" y="37142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2078</xdr:row>
      <xdr:rowOff>0</xdr:rowOff>
    </xdr:from>
    <xdr:to>
      <xdr:col>0</xdr:col>
      <xdr:colOff>323850</xdr:colOff>
      <xdr:row>2079</xdr:row>
      <xdr:rowOff>120650</xdr:rowOff>
    </xdr:to>
    <xdr:sp macro="" textlink="">
      <xdr:nvSpPr>
        <xdr:cNvPr id="760" name="Frame 759">
          <a:extLst>
            <a:ext uri="{FF2B5EF4-FFF2-40B4-BE49-F238E27FC236}">
              <a16:creationId xmlns:a16="http://schemas.microsoft.com/office/drawing/2014/main" id="{FF73D5E3-BE0F-4BEE-8197-B1D06F8E0EB6}"/>
            </a:ext>
          </a:extLst>
        </xdr:cNvPr>
        <xdr:cNvSpPr/>
      </xdr:nvSpPr>
      <xdr:spPr>
        <a:xfrm>
          <a:off x="0" y="37179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2080</xdr:row>
      <xdr:rowOff>0</xdr:rowOff>
    </xdr:from>
    <xdr:to>
      <xdr:col>0</xdr:col>
      <xdr:colOff>323850</xdr:colOff>
      <xdr:row>2081</xdr:row>
      <xdr:rowOff>120650</xdr:rowOff>
    </xdr:to>
    <xdr:sp macro="" textlink="">
      <xdr:nvSpPr>
        <xdr:cNvPr id="761" name="Frame 760">
          <a:extLst>
            <a:ext uri="{FF2B5EF4-FFF2-40B4-BE49-F238E27FC236}">
              <a16:creationId xmlns:a16="http://schemas.microsoft.com/office/drawing/2014/main" id="{CA07B396-0ED3-4FA0-8162-A6BC2461E402}"/>
            </a:ext>
          </a:extLst>
        </xdr:cNvPr>
        <xdr:cNvSpPr/>
      </xdr:nvSpPr>
      <xdr:spPr>
        <a:xfrm>
          <a:off x="0" y="37216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2082</xdr:row>
      <xdr:rowOff>0</xdr:rowOff>
    </xdr:from>
    <xdr:to>
      <xdr:col>0</xdr:col>
      <xdr:colOff>323850</xdr:colOff>
      <xdr:row>2083</xdr:row>
      <xdr:rowOff>120650</xdr:rowOff>
    </xdr:to>
    <xdr:sp macro="" textlink="">
      <xdr:nvSpPr>
        <xdr:cNvPr id="762" name="Frame 761">
          <a:extLst>
            <a:ext uri="{FF2B5EF4-FFF2-40B4-BE49-F238E27FC236}">
              <a16:creationId xmlns:a16="http://schemas.microsoft.com/office/drawing/2014/main" id="{CED7D96E-5506-43A8-BE3C-8EA0728B053E}"/>
            </a:ext>
          </a:extLst>
        </xdr:cNvPr>
        <xdr:cNvSpPr/>
      </xdr:nvSpPr>
      <xdr:spPr>
        <a:xfrm>
          <a:off x="0" y="37252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2084</xdr:row>
      <xdr:rowOff>0</xdr:rowOff>
    </xdr:from>
    <xdr:to>
      <xdr:col>0</xdr:col>
      <xdr:colOff>323850</xdr:colOff>
      <xdr:row>2085</xdr:row>
      <xdr:rowOff>120650</xdr:rowOff>
    </xdr:to>
    <xdr:sp macro="" textlink="">
      <xdr:nvSpPr>
        <xdr:cNvPr id="763" name="Frame 762">
          <a:extLst>
            <a:ext uri="{FF2B5EF4-FFF2-40B4-BE49-F238E27FC236}">
              <a16:creationId xmlns:a16="http://schemas.microsoft.com/office/drawing/2014/main" id="{8FDB352F-BFC8-43DC-B134-58FD9173F878}"/>
            </a:ext>
          </a:extLst>
        </xdr:cNvPr>
        <xdr:cNvSpPr/>
      </xdr:nvSpPr>
      <xdr:spPr>
        <a:xfrm>
          <a:off x="0" y="372897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2086</xdr:row>
      <xdr:rowOff>0</xdr:rowOff>
    </xdr:from>
    <xdr:to>
      <xdr:col>0</xdr:col>
      <xdr:colOff>323850</xdr:colOff>
      <xdr:row>2087</xdr:row>
      <xdr:rowOff>120650</xdr:rowOff>
    </xdr:to>
    <xdr:sp macro="" textlink="">
      <xdr:nvSpPr>
        <xdr:cNvPr id="764" name="Frame 763">
          <a:extLst>
            <a:ext uri="{FF2B5EF4-FFF2-40B4-BE49-F238E27FC236}">
              <a16:creationId xmlns:a16="http://schemas.microsoft.com/office/drawing/2014/main" id="{14A8E560-73CB-4A70-ADCA-8B38FF865394}"/>
            </a:ext>
          </a:extLst>
        </xdr:cNvPr>
        <xdr:cNvSpPr/>
      </xdr:nvSpPr>
      <xdr:spPr>
        <a:xfrm>
          <a:off x="0" y="37326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2088</xdr:row>
      <xdr:rowOff>0</xdr:rowOff>
    </xdr:from>
    <xdr:to>
      <xdr:col>0</xdr:col>
      <xdr:colOff>323850</xdr:colOff>
      <xdr:row>2089</xdr:row>
      <xdr:rowOff>120650</xdr:rowOff>
    </xdr:to>
    <xdr:sp macro="" textlink="">
      <xdr:nvSpPr>
        <xdr:cNvPr id="765" name="Frame 764">
          <a:extLst>
            <a:ext uri="{FF2B5EF4-FFF2-40B4-BE49-F238E27FC236}">
              <a16:creationId xmlns:a16="http://schemas.microsoft.com/office/drawing/2014/main" id="{D12B1932-7A33-487E-9B8D-4B3D4AA83D7C}"/>
            </a:ext>
          </a:extLst>
        </xdr:cNvPr>
        <xdr:cNvSpPr/>
      </xdr:nvSpPr>
      <xdr:spPr>
        <a:xfrm>
          <a:off x="0" y="37363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2090</xdr:row>
      <xdr:rowOff>0</xdr:rowOff>
    </xdr:from>
    <xdr:to>
      <xdr:col>0</xdr:col>
      <xdr:colOff>323850</xdr:colOff>
      <xdr:row>2091</xdr:row>
      <xdr:rowOff>120650</xdr:rowOff>
    </xdr:to>
    <xdr:sp macro="" textlink="">
      <xdr:nvSpPr>
        <xdr:cNvPr id="767" name="Frame 766">
          <a:extLst>
            <a:ext uri="{FF2B5EF4-FFF2-40B4-BE49-F238E27FC236}">
              <a16:creationId xmlns:a16="http://schemas.microsoft.com/office/drawing/2014/main" id="{3DC57BBC-A5B8-4CA5-8BCD-54F1B7260FA3}"/>
            </a:ext>
          </a:extLst>
        </xdr:cNvPr>
        <xdr:cNvSpPr/>
      </xdr:nvSpPr>
      <xdr:spPr>
        <a:xfrm>
          <a:off x="0" y="38136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2092</xdr:row>
      <xdr:rowOff>0</xdr:rowOff>
    </xdr:from>
    <xdr:to>
      <xdr:col>0</xdr:col>
      <xdr:colOff>323850</xdr:colOff>
      <xdr:row>2093</xdr:row>
      <xdr:rowOff>120650</xdr:rowOff>
    </xdr:to>
    <xdr:sp macro="" textlink="">
      <xdr:nvSpPr>
        <xdr:cNvPr id="768" name="Frame 767">
          <a:extLst>
            <a:ext uri="{FF2B5EF4-FFF2-40B4-BE49-F238E27FC236}">
              <a16:creationId xmlns:a16="http://schemas.microsoft.com/office/drawing/2014/main" id="{6A420047-CEE8-4C6A-B7CA-DD06EB647DAA}"/>
            </a:ext>
          </a:extLst>
        </xdr:cNvPr>
        <xdr:cNvSpPr/>
      </xdr:nvSpPr>
      <xdr:spPr>
        <a:xfrm>
          <a:off x="0" y="38173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2094</xdr:row>
      <xdr:rowOff>0</xdr:rowOff>
    </xdr:from>
    <xdr:to>
      <xdr:col>0</xdr:col>
      <xdr:colOff>323850</xdr:colOff>
      <xdr:row>2095</xdr:row>
      <xdr:rowOff>120650</xdr:rowOff>
    </xdr:to>
    <xdr:sp macro="" textlink="">
      <xdr:nvSpPr>
        <xdr:cNvPr id="769" name="Frame 768">
          <a:extLst>
            <a:ext uri="{FF2B5EF4-FFF2-40B4-BE49-F238E27FC236}">
              <a16:creationId xmlns:a16="http://schemas.microsoft.com/office/drawing/2014/main" id="{27DDBBCB-A077-40AB-939A-FC9C5AF06357}"/>
            </a:ext>
          </a:extLst>
        </xdr:cNvPr>
        <xdr:cNvSpPr/>
      </xdr:nvSpPr>
      <xdr:spPr>
        <a:xfrm>
          <a:off x="0" y="38209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2096</xdr:row>
      <xdr:rowOff>0</xdr:rowOff>
    </xdr:from>
    <xdr:to>
      <xdr:col>0</xdr:col>
      <xdr:colOff>323850</xdr:colOff>
      <xdr:row>2097</xdr:row>
      <xdr:rowOff>120650</xdr:rowOff>
    </xdr:to>
    <xdr:sp macro="" textlink="">
      <xdr:nvSpPr>
        <xdr:cNvPr id="770" name="Frame 769">
          <a:extLst>
            <a:ext uri="{FF2B5EF4-FFF2-40B4-BE49-F238E27FC236}">
              <a16:creationId xmlns:a16="http://schemas.microsoft.com/office/drawing/2014/main" id="{66F398DA-FE17-488C-94C1-617673B1A0EE}"/>
            </a:ext>
          </a:extLst>
        </xdr:cNvPr>
        <xdr:cNvSpPr/>
      </xdr:nvSpPr>
      <xdr:spPr>
        <a:xfrm>
          <a:off x="0" y="38246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2110</xdr:row>
      <xdr:rowOff>177800</xdr:rowOff>
    </xdr:from>
    <xdr:to>
      <xdr:col>0</xdr:col>
      <xdr:colOff>330200</xdr:colOff>
      <xdr:row>2112</xdr:row>
      <xdr:rowOff>114300</xdr:rowOff>
    </xdr:to>
    <xdr:sp macro="" textlink="">
      <xdr:nvSpPr>
        <xdr:cNvPr id="771" name="Frame 770">
          <a:extLst>
            <a:ext uri="{FF2B5EF4-FFF2-40B4-BE49-F238E27FC236}">
              <a16:creationId xmlns:a16="http://schemas.microsoft.com/office/drawing/2014/main" id="{DB399F79-5A3A-4505-8735-DE6C8CE7591C}"/>
            </a:ext>
          </a:extLst>
        </xdr:cNvPr>
        <xdr:cNvSpPr/>
      </xdr:nvSpPr>
      <xdr:spPr>
        <a:xfrm>
          <a:off x="6350" y="37693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2113</xdr:row>
      <xdr:rowOff>0</xdr:rowOff>
    </xdr:from>
    <xdr:to>
      <xdr:col>0</xdr:col>
      <xdr:colOff>323850</xdr:colOff>
      <xdr:row>2114</xdr:row>
      <xdr:rowOff>120650</xdr:rowOff>
    </xdr:to>
    <xdr:sp macro="" textlink="">
      <xdr:nvSpPr>
        <xdr:cNvPr id="772" name="Frame 771">
          <a:extLst>
            <a:ext uri="{FF2B5EF4-FFF2-40B4-BE49-F238E27FC236}">
              <a16:creationId xmlns:a16="http://schemas.microsoft.com/office/drawing/2014/main" id="{6563D410-A5F5-40E9-AFFB-CDF8C65A700F}"/>
            </a:ext>
          </a:extLst>
        </xdr:cNvPr>
        <xdr:cNvSpPr/>
      </xdr:nvSpPr>
      <xdr:spPr>
        <a:xfrm>
          <a:off x="0" y="377310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2115</xdr:row>
      <xdr:rowOff>0</xdr:rowOff>
    </xdr:from>
    <xdr:to>
      <xdr:col>0</xdr:col>
      <xdr:colOff>323850</xdr:colOff>
      <xdr:row>2116</xdr:row>
      <xdr:rowOff>120650</xdr:rowOff>
    </xdr:to>
    <xdr:sp macro="" textlink="">
      <xdr:nvSpPr>
        <xdr:cNvPr id="773" name="Frame 772">
          <a:extLst>
            <a:ext uri="{FF2B5EF4-FFF2-40B4-BE49-F238E27FC236}">
              <a16:creationId xmlns:a16="http://schemas.microsoft.com/office/drawing/2014/main" id="{92107D35-63A4-4086-BCDF-9FEFDA67CADF}"/>
            </a:ext>
          </a:extLst>
        </xdr:cNvPr>
        <xdr:cNvSpPr/>
      </xdr:nvSpPr>
      <xdr:spPr>
        <a:xfrm>
          <a:off x="0" y="377678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2117</xdr:row>
      <xdr:rowOff>0</xdr:rowOff>
    </xdr:from>
    <xdr:to>
      <xdr:col>0</xdr:col>
      <xdr:colOff>323850</xdr:colOff>
      <xdr:row>2118</xdr:row>
      <xdr:rowOff>120650</xdr:rowOff>
    </xdr:to>
    <xdr:sp macro="" textlink="">
      <xdr:nvSpPr>
        <xdr:cNvPr id="774" name="Frame 773">
          <a:extLst>
            <a:ext uri="{FF2B5EF4-FFF2-40B4-BE49-F238E27FC236}">
              <a16:creationId xmlns:a16="http://schemas.microsoft.com/office/drawing/2014/main" id="{F4426BA5-4668-4974-9761-98740B757417}"/>
            </a:ext>
          </a:extLst>
        </xdr:cNvPr>
        <xdr:cNvSpPr/>
      </xdr:nvSpPr>
      <xdr:spPr>
        <a:xfrm>
          <a:off x="0" y="378047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2119</xdr:row>
      <xdr:rowOff>0</xdr:rowOff>
    </xdr:from>
    <xdr:to>
      <xdr:col>0</xdr:col>
      <xdr:colOff>323850</xdr:colOff>
      <xdr:row>2120</xdr:row>
      <xdr:rowOff>120650</xdr:rowOff>
    </xdr:to>
    <xdr:sp macro="" textlink="">
      <xdr:nvSpPr>
        <xdr:cNvPr id="775" name="Frame 774">
          <a:extLst>
            <a:ext uri="{FF2B5EF4-FFF2-40B4-BE49-F238E27FC236}">
              <a16:creationId xmlns:a16="http://schemas.microsoft.com/office/drawing/2014/main" id="{78C1B7D0-9FD8-4C36-8C94-384A2D8B22B4}"/>
            </a:ext>
          </a:extLst>
        </xdr:cNvPr>
        <xdr:cNvSpPr/>
      </xdr:nvSpPr>
      <xdr:spPr>
        <a:xfrm>
          <a:off x="0" y="378415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2121</xdr:row>
      <xdr:rowOff>0</xdr:rowOff>
    </xdr:from>
    <xdr:to>
      <xdr:col>0</xdr:col>
      <xdr:colOff>323850</xdr:colOff>
      <xdr:row>2122</xdr:row>
      <xdr:rowOff>120650</xdr:rowOff>
    </xdr:to>
    <xdr:sp macro="" textlink="">
      <xdr:nvSpPr>
        <xdr:cNvPr id="776" name="Frame 775">
          <a:extLst>
            <a:ext uri="{FF2B5EF4-FFF2-40B4-BE49-F238E27FC236}">
              <a16:creationId xmlns:a16="http://schemas.microsoft.com/office/drawing/2014/main" id="{7426A6AB-67EB-4860-B518-F05D3126B970}"/>
            </a:ext>
          </a:extLst>
        </xdr:cNvPr>
        <xdr:cNvSpPr/>
      </xdr:nvSpPr>
      <xdr:spPr>
        <a:xfrm>
          <a:off x="0" y="37878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2123</xdr:row>
      <xdr:rowOff>0</xdr:rowOff>
    </xdr:from>
    <xdr:to>
      <xdr:col>0</xdr:col>
      <xdr:colOff>323850</xdr:colOff>
      <xdr:row>2124</xdr:row>
      <xdr:rowOff>120650</xdr:rowOff>
    </xdr:to>
    <xdr:sp macro="" textlink="">
      <xdr:nvSpPr>
        <xdr:cNvPr id="777" name="Frame 776">
          <a:extLst>
            <a:ext uri="{FF2B5EF4-FFF2-40B4-BE49-F238E27FC236}">
              <a16:creationId xmlns:a16="http://schemas.microsoft.com/office/drawing/2014/main" id="{22BC960B-59C7-46D0-82E6-AFC235E30B45}"/>
            </a:ext>
          </a:extLst>
        </xdr:cNvPr>
        <xdr:cNvSpPr/>
      </xdr:nvSpPr>
      <xdr:spPr>
        <a:xfrm>
          <a:off x="0" y="37915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2125</xdr:row>
      <xdr:rowOff>0</xdr:rowOff>
    </xdr:from>
    <xdr:to>
      <xdr:col>0</xdr:col>
      <xdr:colOff>323850</xdr:colOff>
      <xdr:row>2126</xdr:row>
      <xdr:rowOff>120650</xdr:rowOff>
    </xdr:to>
    <xdr:sp macro="" textlink="">
      <xdr:nvSpPr>
        <xdr:cNvPr id="778" name="Frame 777">
          <a:extLst>
            <a:ext uri="{FF2B5EF4-FFF2-40B4-BE49-F238E27FC236}">
              <a16:creationId xmlns:a16="http://schemas.microsoft.com/office/drawing/2014/main" id="{403A9402-644D-4533-B353-280BE8AEB08D}"/>
            </a:ext>
          </a:extLst>
        </xdr:cNvPr>
        <xdr:cNvSpPr/>
      </xdr:nvSpPr>
      <xdr:spPr>
        <a:xfrm>
          <a:off x="0" y="37952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2139</xdr:row>
      <xdr:rowOff>177800</xdr:rowOff>
    </xdr:from>
    <xdr:to>
      <xdr:col>0</xdr:col>
      <xdr:colOff>330200</xdr:colOff>
      <xdr:row>2141</xdr:row>
      <xdr:rowOff>114300</xdr:rowOff>
    </xdr:to>
    <xdr:sp macro="" textlink="">
      <xdr:nvSpPr>
        <xdr:cNvPr id="787" name="Frame 786">
          <a:extLst>
            <a:ext uri="{FF2B5EF4-FFF2-40B4-BE49-F238E27FC236}">
              <a16:creationId xmlns:a16="http://schemas.microsoft.com/office/drawing/2014/main" id="{9823E90F-4F3E-4F0C-9D44-6FF336B41DEB}"/>
            </a:ext>
          </a:extLst>
        </xdr:cNvPr>
        <xdr:cNvSpPr/>
      </xdr:nvSpPr>
      <xdr:spPr>
        <a:xfrm>
          <a:off x="6350" y="9615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2142</xdr:row>
      <xdr:rowOff>0</xdr:rowOff>
    </xdr:from>
    <xdr:to>
      <xdr:col>0</xdr:col>
      <xdr:colOff>323850</xdr:colOff>
      <xdr:row>2143</xdr:row>
      <xdr:rowOff>120650</xdr:rowOff>
    </xdr:to>
    <xdr:sp macro="" textlink="">
      <xdr:nvSpPr>
        <xdr:cNvPr id="788" name="Frame 787">
          <a:extLst>
            <a:ext uri="{FF2B5EF4-FFF2-40B4-BE49-F238E27FC236}">
              <a16:creationId xmlns:a16="http://schemas.microsoft.com/office/drawing/2014/main" id="{EBF88217-6E5C-4988-8818-A206584D62AD}"/>
            </a:ext>
          </a:extLst>
        </xdr:cNvPr>
        <xdr:cNvSpPr/>
      </xdr:nvSpPr>
      <xdr:spPr>
        <a:xfrm>
          <a:off x="0" y="9653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2144</xdr:row>
      <xdr:rowOff>0</xdr:rowOff>
    </xdr:from>
    <xdr:to>
      <xdr:col>0</xdr:col>
      <xdr:colOff>323850</xdr:colOff>
      <xdr:row>2145</xdr:row>
      <xdr:rowOff>120650</xdr:rowOff>
    </xdr:to>
    <xdr:sp macro="" textlink="">
      <xdr:nvSpPr>
        <xdr:cNvPr id="789" name="Frame 788">
          <a:extLst>
            <a:ext uri="{FF2B5EF4-FFF2-40B4-BE49-F238E27FC236}">
              <a16:creationId xmlns:a16="http://schemas.microsoft.com/office/drawing/2014/main" id="{B8656F5A-5EEE-4C63-A238-9B6F824C646C}"/>
            </a:ext>
          </a:extLst>
        </xdr:cNvPr>
        <xdr:cNvSpPr/>
      </xdr:nvSpPr>
      <xdr:spPr>
        <a:xfrm>
          <a:off x="0" y="9690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2146</xdr:row>
      <xdr:rowOff>0</xdr:rowOff>
    </xdr:from>
    <xdr:to>
      <xdr:col>0</xdr:col>
      <xdr:colOff>323850</xdr:colOff>
      <xdr:row>2147</xdr:row>
      <xdr:rowOff>120650</xdr:rowOff>
    </xdr:to>
    <xdr:sp macro="" textlink="">
      <xdr:nvSpPr>
        <xdr:cNvPr id="790" name="Frame 789">
          <a:extLst>
            <a:ext uri="{FF2B5EF4-FFF2-40B4-BE49-F238E27FC236}">
              <a16:creationId xmlns:a16="http://schemas.microsoft.com/office/drawing/2014/main" id="{477312A1-5C1C-438B-A29A-72C8F7218F18}"/>
            </a:ext>
          </a:extLst>
        </xdr:cNvPr>
        <xdr:cNvSpPr/>
      </xdr:nvSpPr>
      <xdr:spPr>
        <a:xfrm>
          <a:off x="0" y="9726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2148</xdr:row>
      <xdr:rowOff>0</xdr:rowOff>
    </xdr:from>
    <xdr:to>
      <xdr:col>0</xdr:col>
      <xdr:colOff>323850</xdr:colOff>
      <xdr:row>2149</xdr:row>
      <xdr:rowOff>120650</xdr:rowOff>
    </xdr:to>
    <xdr:sp macro="" textlink="">
      <xdr:nvSpPr>
        <xdr:cNvPr id="791" name="Frame 790">
          <a:extLst>
            <a:ext uri="{FF2B5EF4-FFF2-40B4-BE49-F238E27FC236}">
              <a16:creationId xmlns:a16="http://schemas.microsoft.com/office/drawing/2014/main" id="{94BC9D7F-B7FB-47CD-B97E-5F518814C2E5}"/>
            </a:ext>
          </a:extLst>
        </xdr:cNvPr>
        <xdr:cNvSpPr/>
      </xdr:nvSpPr>
      <xdr:spPr>
        <a:xfrm>
          <a:off x="0" y="9763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2150</xdr:row>
      <xdr:rowOff>0</xdr:rowOff>
    </xdr:from>
    <xdr:to>
      <xdr:col>0</xdr:col>
      <xdr:colOff>323850</xdr:colOff>
      <xdr:row>2151</xdr:row>
      <xdr:rowOff>120650</xdr:rowOff>
    </xdr:to>
    <xdr:sp macro="" textlink="">
      <xdr:nvSpPr>
        <xdr:cNvPr id="792" name="Frame 791">
          <a:extLst>
            <a:ext uri="{FF2B5EF4-FFF2-40B4-BE49-F238E27FC236}">
              <a16:creationId xmlns:a16="http://schemas.microsoft.com/office/drawing/2014/main" id="{9659D0F4-9E1C-4968-A84B-EF41FA802753}"/>
            </a:ext>
          </a:extLst>
        </xdr:cNvPr>
        <xdr:cNvSpPr/>
      </xdr:nvSpPr>
      <xdr:spPr>
        <a:xfrm>
          <a:off x="0" y="9800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2152</xdr:row>
      <xdr:rowOff>0</xdr:rowOff>
    </xdr:from>
    <xdr:to>
      <xdr:col>0</xdr:col>
      <xdr:colOff>323850</xdr:colOff>
      <xdr:row>2153</xdr:row>
      <xdr:rowOff>120650</xdr:rowOff>
    </xdr:to>
    <xdr:sp macro="" textlink="">
      <xdr:nvSpPr>
        <xdr:cNvPr id="793" name="Frame 792">
          <a:extLst>
            <a:ext uri="{FF2B5EF4-FFF2-40B4-BE49-F238E27FC236}">
              <a16:creationId xmlns:a16="http://schemas.microsoft.com/office/drawing/2014/main" id="{34D73866-725C-45DD-B326-E69FB83AACAE}"/>
            </a:ext>
          </a:extLst>
        </xdr:cNvPr>
        <xdr:cNvSpPr/>
      </xdr:nvSpPr>
      <xdr:spPr>
        <a:xfrm>
          <a:off x="0" y="9837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2154</xdr:row>
      <xdr:rowOff>0</xdr:rowOff>
    </xdr:from>
    <xdr:to>
      <xdr:col>0</xdr:col>
      <xdr:colOff>323850</xdr:colOff>
      <xdr:row>2155</xdr:row>
      <xdr:rowOff>120650</xdr:rowOff>
    </xdr:to>
    <xdr:sp macro="" textlink="">
      <xdr:nvSpPr>
        <xdr:cNvPr id="794" name="Frame 793">
          <a:extLst>
            <a:ext uri="{FF2B5EF4-FFF2-40B4-BE49-F238E27FC236}">
              <a16:creationId xmlns:a16="http://schemas.microsoft.com/office/drawing/2014/main" id="{E2CE0413-AAC0-4A82-8552-AB7F679B0584}"/>
            </a:ext>
          </a:extLst>
        </xdr:cNvPr>
        <xdr:cNvSpPr/>
      </xdr:nvSpPr>
      <xdr:spPr>
        <a:xfrm>
          <a:off x="0" y="9874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2156</xdr:row>
      <xdr:rowOff>0</xdr:rowOff>
    </xdr:from>
    <xdr:to>
      <xdr:col>0</xdr:col>
      <xdr:colOff>323850</xdr:colOff>
      <xdr:row>2157</xdr:row>
      <xdr:rowOff>120650</xdr:rowOff>
    </xdr:to>
    <xdr:sp macro="" textlink="">
      <xdr:nvSpPr>
        <xdr:cNvPr id="795" name="Frame 794">
          <a:extLst>
            <a:ext uri="{FF2B5EF4-FFF2-40B4-BE49-F238E27FC236}">
              <a16:creationId xmlns:a16="http://schemas.microsoft.com/office/drawing/2014/main" id="{9E37F426-D991-4673-BDB1-234285A18CD6}"/>
            </a:ext>
          </a:extLst>
        </xdr:cNvPr>
        <xdr:cNvSpPr/>
      </xdr:nvSpPr>
      <xdr:spPr>
        <a:xfrm>
          <a:off x="0" y="9911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2158</xdr:row>
      <xdr:rowOff>0</xdr:rowOff>
    </xdr:from>
    <xdr:to>
      <xdr:col>0</xdr:col>
      <xdr:colOff>323850</xdr:colOff>
      <xdr:row>2159</xdr:row>
      <xdr:rowOff>120650</xdr:rowOff>
    </xdr:to>
    <xdr:sp macro="" textlink="">
      <xdr:nvSpPr>
        <xdr:cNvPr id="796" name="Frame 795">
          <a:extLst>
            <a:ext uri="{FF2B5EF4-FFF2-40B4-BE49-F238E27FC236}">
              <a16:creationId xmlns:a16="http://schemas.microsoft.com/office/drawing/2014/main" id="{5C0AF260-CEFC-4E9A-AA83-E7127464AC1B}"/>
            </a:ext>
          </a:extLst>
        </xdr:cNvPr>
        <xdr:cNvSpPr/>
      </xdr:nvSpPr>
      <xdr:spPr>
        <a:xfrm>
          <a:off x="0" y="9947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323850</xdr:colOff>
      <xdr:row>2161</xdr:row>
      <xdr:rowOff>120650</xdr:rowOff>
    </xdr:to>
    <xdr:sp macro="" textlink="">
      <xdr:nvSpPr>
        <xdr:cNvPr id="797" name="Frame 796">
          <a:extLst>
            <a:ext uri="{FF2B5EF4-FFF2-40B4-BE49-F238E27FC236}">
              <a16:creationId xmlns:a16="http://schemas.microsoft.com/office/drawing/2014/main" id="{24184556-AE20-4E09-B843-E43DCA3C58A1}"/>
            </a:ext>
          </a:extLst>
        </xdr:cNvPr>
        <xdr:cNvSpPr/>
      </xdr:nvSpPr>
      <xdr:spPr>
        <a:xfrm>
          <a:off x="0" y="99847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2162</xdr:row>
      <xdr:rowOff>0</xdr:rowOff>
    </xdr:from>
    <xdr:to>
      <xdr:col>0</xdr:col>
      <xdr:colOff>323850</xdr:colOff>
      <xdr:row>2163</xdr:row>
      <xdr:rowOff>120650</xdr:rowOff>
    </xdr:to>
    <xdr:sp macro="" textlink="">
      <xdr:nvSpPr>
        <xdr:cNvPr id="798" name="Frame 797">
          <a:extLst>
            <a:ext uri="{FF2B5EF4-FFF2-40B4-BE49-F238E27FC236}">
              <a16:creationId xmlns:a16="http://schemas.microsoft.com/office/drawing/2014/main" id="{21BB1AAF-C3E7-43E9-B817-641925EB22EA}"/>
            </a:ext>
          </a:extLst>
        </xdr:cNvPr>
        <xdr:cNvSpPr/>
      </xdr:nvSpPr>
      <xdr:spPr>
        <a:xfrm>
          <a:off x="0" y="10021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2164</xdr:row>
      <xdr:rowOff>0</xdr:rowOff>
    </xdr:from>
    <xdr:to>
      <xdr:col>0</xdr:col>
      <xdr:colOff>323850</xdr:colOff>
      <xdr:row>2165</xdr:row>
      <xdr:rowOff>120650</xdr:rowOff>
    </xdr:to>
    <xdr:sp macro="" textlink="">
      <xdr:nvSpPr>
        <xdr:cNvPr id="799" name="Frame 798">
          <a:extLst>
            <a:ext uri="{FF2B5EF4-FFF2-40B4-BE49-F238E27FC236}">
              <a16:creationId xmlns:a16="http://schemas.microsoft.com/office/drawing/2014/main" id="{0EEFC2BE-76DD-4D00-93E0-5F879C249D64}"/>
            </a:ext>
          </a:extLst>
        </xdr:cNvPr>
        <xdr:cNvSpPr/>
      </xdr:nvSpPr>
      <xdr:spPr>
        <a:xfrm>
          <a:off x="0" y="10058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2166</xdr:row>
      <xdr:rowOff>0</xdr:rowOff>
    </xdr:from>
    <xdr:to>
      <xdr:col>0</xdr:col>
      <xdr:colOff>323850</xdr:colOff>
      <xdr:row>2167</xdr:row>
      <xdr:rowOff>120650</xdr:rowOff>
    </xdr:to>
    <xdr:sp macro="" textlink="">
      <xdr:nvSpPr>
        <xdr:cNvPr id="800" name="Frame 799">
          <a:extLst>
            <a:ext uri="{FF2B5EF4-FFF2-40B4-BE49-F238E27FC236}">
              <a16:creationId xmlns:a16="http://schemas.microsoft.com/office/drawing/2014/main" id="{C1FAE446-687F-4CB1-881F-10FECFC470CD}"/>
            </a:ext>
          </a:extLst>
        </xdr:cNvPr>
        <xdr:cNvSpPr/>
      </xdr:nvSpPr>
      <xdr:spPr>
        <a:xfrm>
          <a:off x="0" y="10095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2168</xdr:row>
      <xdr:rowOff>0</xdr:rowOff>
    </xdr:from>
    <xdr:to>
      <xdr:col>0</xdr:col>
      <xdr:colOff>323850</xdr:colOff>
      <xdr:row>2169</xdr:row>
      <xdr:rowOff>120650</xdr:rowOff>
    </xdr:to>
    <xdr:sp macro="" textlink="">
      <xdr:nvSpPr>
        <xdr:cNvPr id="801" name="Frame 800">
          <a:extLst>
            <a:ext uri="{FF2B5EF4-FFF2-40B4-BE49-F238E27FC236}">
              <a16:creationId xmlns:a16="http://schemas.microsoft.com/office/drawing/2014/main" id="{6FA4211A-43AD-4E48-909B-586E23D785EF}"/>
            </a:ext>
          </a:extLst>
        </xdr:cNvPr>
        <xdr:cNvSpPr/>
      </xdr:nvSpPr>
      <xdr:spPr>
        <a:xfrm>
          <a:off x="0" y="10132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2170</xdr:row>
      <xdr:rowOff>0</xdr:rowOff>
    </xdr:from>
    <xdr:to>
      <xdr:col>0</xdr:col>
      <xdr:colOff>323850</xdr:colOff>
      <xdr:row>2171</xdr:row>
      <xdr:rowOff>120650</xdr:rowOff>
    </xdr:to>
    <xdr:sp macro="" textlink="">
      <xdr:nvSpPr>
        <xdr:cNvPr id="802" name="Frame 801">
          <a:extLst>
            <a:ext uri="{FF2B5EF4-FFF2-40B4-BE49-F238E27FC236}">
              <a16:creationId xmlns:a16="http://schemas.microsoft.com/office/drawing/2014/main" id="{C93A7F50-BC96-4D2B-9E76-CB468BBF05DE}"/>
            </a:ext>
          </a:extLst>
        </xdr:cNvPr>
        <xdr:cNvSpPr/>
      </xdr:nvSpPr>
      <xdr:spPr>
        <a:xfrm>
          <a:off x="0" y="10168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2184</xdr:row>
      <xdr:rowOff>177800</xdr:rowOff>
    </xdr:from>
    <xdr:to>
      <xdr:col>0</xdr:col>
      <xdr:colOff>330200</xdr:colOff>
      <xdr:row>2186</xdr:row>
      <xdr:rowOff>114300</xdr:rowOff>
    </xdr:to>
    <xdr:sp macro="" textlink="">
      <xdr:nvSpPr>
        <xdr:cNvPr id="803" name="Frame 802">
          <a:extLst>
            <a:ext uri="{FF2B5EF4-FFF2-40B4-BE49-F238E27FC236}">
              <a16:creationId xmlns:a16="http://schemas.microsoft.com/office/drawing/2014/main" id="{A922C4C7-B251-44B0-8132-846067C91543}"/>
            </a:ext>
          </a:extLst>
        </xdr:cNvPr>
        <xdr:cNvSpPr/>
      </xdr:nvSpPr>
      <xdr:spPr>
        <a:xfrm>
          <a:off x="6350" y="39091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2187</xdr:row>
      <xdr:rowOff>0</xdr:rowOff>
    </xdr:from>
    <xdr:to>
      <xdr:col>0</xdr:col>
      <xdr:colOff>323850</xdr:colOff>
      <xdr:row>2188</xdr:row>
      <xdr:rowOff>120650</xdr:rowOff>
    </xdr:to>
    <xdr:sp macro="" textlink="">
      <xdr:nvSpPr>
        <xdr:cNvPr id="804" name="Frame 803">
          <a:extLst>
            <a:ext uri="{FF2B5EF4-FFF2-40B4-BE49-F238E27FC236}">
              <a16:creationId xmlns:a16="http://schemas.microsoft.com/office/drawing/2014/main" id="{3F595038-27C7-479F-83A2-90EC13EB4DDB}"/>
            </a:ext>
          </a:extLst>
        </xdr:cNvPr>
        <xdr:cNvSpPr/>
      </xdr:nvSpPr>
      <xdr:spPr>
        <a:xfrm>
          <a:off x="0" y="39129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2189</xdr:row>
      <xdr:rowOff>0</xdr:rowOff>
    </xdr:from>
    <xdr:to>
      <xdr:col>0</xdr:col>
      <xdr:colOff>323850</xdr:colOff>
      <xdr:row>2190</xdr:row>
      <xdr:rowOff>120650</xdr:rowOff>
    </xdr:to>
    <xdr:sp macro="" textlink="">
      <xdr:nvSpPr>
        <xdr:cNvPr id="805" name="Frame 804">
          <a:extLst>
            <a:ext uri="{FF2B5EF4-FFF2-40B4-BE49-F238E27FC236}">
              <a16:creationId xmlns:a16="http://schemas.microsoft.com/office/drawing/2014/main" id="{6B4C0364-649C-442E-9C4E-927D25030C0D}"/>
            </a:ext>
          </a:extLst>
        </xdr:cNvPr>
        <xdr:cNvSpPr/>
      </xdr:nvSpPr>
      <xdr:spPr>
        <a:xfrm>
          <a:off x="0" y="39166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2191</xdr:row>
      <xdr:rowOff>0</xdr:rowOff>
    </xdr:from>
    <xdr:to>
      <xdr:col>0</xdr:col>
      <xdr:colOff>323850</xdr:colOff>
      <xdr:row>2192</xdr:row>
      <xdr:rowOff>120650</xdr:rowOff>
    </xdr:to>
    <xdr:sp macro="" textlink="">
      <xdr:nvSpPr>
        <xdr:cNvPr id="806" name="Frame 805">
          <a:extLst>
            <a:ext uri="{FF2B5EF4-FFF2-40B4-BE49-F238E27FC236}">
              <a16:creationId xmlns:a16="http://schemas.microsoft.com/office/drawing/2014/main" id="{5B5CBE2F-4BB0-45DE-91E3-FCC357FB3989}"/>
            </a:ext>
          </a:extLst>
        </xdr:cNvPr>
        <xdr:cNvSpPr/>
      </xdr:nvSpPr>
      <xdr:spPr>
        <a:xfrm>
          <a:off x="0" y="392029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2193</xdr:row>
      <xdr:rowOff>0</xdr:rowOff>
    </xdr:from>
    <xdr:to>
      <xdr:col>0</xdr:col>
      <xdr:colOff>323850</xdr:colOff>
      <xdr:row>2194</xdr:row>
      <xdr:rowOff>120650</xdr:rowOff>
    </xdr:to>
    <xdr:sp macro="" textlink="">
      <xdr:nvSpPr>
        <xdr:cNvPr id="807" name="Frame 806">
          <a:extLst>
            <a:ext uri="{FF2B5EF4-FFF2-40B4-BE49-F238E27FC236}">
              <a16:creationId xmlns:a16="http://schemas.microsoft.com/office/drawing/2014/main" id="{196516C5-BBDC-456A-8CA9-47B408771D8F}"/>
            </a:ext>
          </a:extLst>
        </xdr:cNvPr>
        <xdr:cNvSpPr/>
      </xdr:nvSpPr>
      <xdr:spPr>
        <a:xfrm>
          <a:off x="0" y="392398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2195</xdr:row>
      <xdr:rowOff>0</xdr:rowOff>
    </xdr:from>
    <xdr:to>
      <xdr:col>0</xdr:col>
      <xdr:colOff>323850</xdr:colOff>
      <xdr:row>2196</xdr:row>
      <xdr:rowOff>120650</xdr:rowOff>
    </xdr:to>
    <xdr:sp macro="" textlink="">
      <xdr:nvSpPr>
        <xdr:cNvPr id="808" name="Frame 807">
          <a:extLst>
            <a:ext uri="{FF2B5EF4-FFF2-40B4-BE49-F238E27FC236}">
              <a16:creationId xmlns:a16="http://schemas.microsoft.com/office/drawing/2014/main" id="{2D17301D-896B-4CDC-8BD9-5E57261705B4}"/>
            </a:ext>
          </a:extLst>
        </xdr:cNvPr>
        <xdr:cNvSpPr/>
      </xdr:nvSpPr>
      <xdr:spPr>
        <a:xfrm>
          <a:off x="0" y="392766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2197</xdr:row>
      <xdr:rowOff>0</xdr:rowOff>
    </xdr:from>
    <xdr:to>
      <xdr:col>0</xdr:col>
      <xdr:colOff>323850</xdr:colOff>
      <xdr:row>2198</xdr:row>
      <xdr:rowOff>120650</xdr:rowOff>
    </xdr:to>
    <xdr:sp macro="" textlink="">
      <xdr:nvSpPr>
        <xdr:cNvPr id="809" name="Frame 808">
          <a:extLst>
            <a:ext uri="{FF2B5EF4-FFF2-40B4-BE49-F238E27FC236}">
              <a16:creationId xmlns:a16="http://schemas.microsoft.com/office/drawing/2014/main" id="{76A064B6-809C-4076-A706-666CD44B5124}"/>
            </a:ext>
          </a:extLst>
        </xdr:cNvPr>
        <xdr:cNvSpPr/>
      </xdr:nvSpPr>
      <xdr:spPr>
        <a:xfrm>
          <a:off x="0" y="39313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2199</xdr:row>
      <xdr:rowOff>0</xdr:rowOff>
    </xdr:from>
    <xdr:to>
      <xdr:col>0</xdr:col>
      <xdr:colOff>323850</xdr:colOff>
      <xdr:row>2200</xdr:row>
      <xdr:rowOff>120650</xdr:rowOff>
    </xdr:to>
    <xdr:sp macro="" textlink="">
      <xdr:nvSpPr>
        <xdr:cNvPr id="810" name="Frame 809">
          <a:extLst>
            <a:ext uri="{FF2B5EF4-FFF2-40B4-BE49-F238E27FC236}">
              <a16:creationId xmlns:a16="http://schemas.microsoft.com/office/drawing/2014/main" id="{87F9EFBE-EB30-4A82-9EC9-2DF6856BC020}"/>
            </a:ext>
          </a:extLst>
        </xdr:cNvPr>
        <xdr:cNvSpPr/>
      </xdr:nvSpPr>
      <xdr:spPr>
        <a:xfrm>
          <a:off x="0" y="39350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2201</xdr:row>
      <xdr:rowOff>0</xdr:rowOff>
    </xdr:from>
    <xdr:to>
      <xdr:col>0</xdr:col>
      <xdr:colOff>323850</xdr:colOff>
      <xdr:row>2202</xdr:row>
      <xdr:rowOff>120650</xdr:rowOff>
    </xdr:to>
    <xdr:sp macro="" textlink="">
      <xdr:nvSpPr>
        <xdr:cNvPr id="811" name="Frame 810">
          <a:extLst>
            <a:ext uri="{FF2B5EF4-FFF2-40B4-BE49-F238E27FC236}">
              <a16:creationId xmlns:a16="http://schemas.microsoft.com/office/drawing/2014/main" id="{9EB87E53-0BB8-4EA8-B883-6F5C457AAC9A}"/>
            </a:ext>
          </a:extLst>
        </xdr:cNvPr>
        <xdr:cNvSpPr/>
      </xdr:nvSpPr>
      <xdr:spPr>
        <a:xfrm>
          <a:off x="0" y="39387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2203</xdr:row>
      <xdr:rowOff>0</xdr:rowOff>
    </xdr:from>
    <xdr:to>
      <xdr:col>0</xdr:col>
      <xdr:colOff>323850</xdr:colOff>
      <xdr:row>2204</xdr:row>
      <xdr:rowOff>120650</xdr:rowOff>
    </xdr:to>
    <xdr:sp macro="" textlink="">
      <xdr:nvSpPr>
        <xdr:cNvPr id="812" name="Frame 811">
          <a:extLst>
            <a:ext uri="{FF2B5EF4-FFF2-40B4-BE49-F238E27FC236}">
              <a16:creationId xmlns:a16="http://schemas.microsoft.com/office/drawing/2014/main" id="{0FF0FDC1-8379-47CA-8255-E0EF6443281F}"/>
            </a:ext>
          </a:extLst>
        </xdr:cNvPr>
        <xdr:cNvSpPr/>
      </xdr:nvSpPr>
      <xdr:spPr>
        <a:xfrm>
          <a:off x="0" y="39423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2205</xdr:row>
      <xdr:rowOff>0</xdr:rowOff>
    </xdr:from>
    <xdr:to>
      <xdr:col>0</xdr:col>
      <xdr:colOff>323850</xdr:colOff>
      <xdr:row>2206</xdr:row>
      <xdr:rowOff>120650</xdr:rowOff>
    </xdr:to>
    <xdr:sp macro="" textlink="">
      <xdr:nvSpPr>
        <xdr:cNvPr id="813" name="Frame 812">
          <a:extLst>
            <a:ext uri="{FF2B5EF4-FFF2-40B4-BE49-F238E27FC236}">
              <a16:creationId xmlns:a16="http://schemas.microsoft.com/office/drawing/2014/main" id="{8BFEA813-0845-4664-805F-7D9DA6010068}"/>
            </a:ext>
          </a:extLst>
        </xdr:cNvPr>
        <xdr:cNvSpPr/>
      </xdr:nvSpPr>
      <xdr:spPr>
        <a:xfrm>
          <a:off x="0" y="39460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2207</xdr:row>
      <xdr:rowOff>0</xdr:rowOff>
    </xdr:from>
    <xdr:to>
      <xdr:col>0</xdr:col>
      <xdr:colOff>323850</xdr:colOff>
      <xdr:row>2208</xdr:row>
      <xdr:rowOff>120650</xdr:rowOff>
    </xdr:to>
    <xdr:sp macro="" textlink="">
      <xdr:nvSpPr>
        <xdr:cNvPr id="814" name="Frame 813">
          <a:extLst>
            <a:ext uri="{FF2B5EF4-FFF2-40B4-BE49-F238E27FC236}">
              <a16:creationId xmlns:a16="http://schemas.microsoft.com/office/drawing/2014/main" id="{B516DA2C-08FE-43EF-B7DA-595581791B99}"/>
            </a:ext>
          </a:extLst>
        </xdr:cNvPr>
        <xdr:cNvSpPr/>
      </xdr:nvSpPr>
      <xdr:spPr>
        <a:xfrm>
          <a:off x="0" y="39497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2209</xdr:row>
      <xdr:rowOff>0</xdr:rowOff>
    </xdr:from>
    <xdr:to>
      <xdr:col>0</xdr:col>
      <xdr:colOff>323850</xdr:colOff>
      <xdr:row>2210</xdr:row>
      <xdr:rowOff>120650</xdr:rowOff>
    </xdr:to>
    <xdr:sp macro="" textlink="">
      <xdr:nvSpPr>
        <xdr:cNvPr id="815" name="Frame 814">
          <a:extLst>
            <a:ext uri="{FF2B5EF4-FFF2-40B4-BE49-F238E27FC236}">
              <a16:creationId xmlns:a16="http://schemas.microsoft.com/office/drawing/2014/main" id="{6C829E6E-39DE-4CA7-838D-DBEE614A14DE}"/>
            </a:ext>
          </a:extLst>
        </xdr:cNvPr>
        <xdr:cNvSpPr/>
      </xdr:nvSpPr>
      <xdr:spPr>
        <a:xfrm>
          <a:off x="0" y="39534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2227</xdr:row>
      <xdr:rowOff>177800</xdr:rowOff>
    </xdr:from>
    <xdr:to>
      <xdr:col>0</xdr:col>
      <xdr:colOff>330200</xdr:colOff>
      <xdr:row>2229</xdr:row>
      <xdr:rowOff>114300</xdr:rowOff>
    </xdr:to>
    <xdr:sp macro="" textlink="">
      <xdr:nvSpPr>
        <xdr:cNvPr id="819" name="Frame 818">
          <a:extLst>
            <a:ext uri="{FF2B5EF4-FFF2-40B4-BE49-F238E27FC236}">
              <a16:creationId xmlns:a16="http://schemas.microsoft.com/office/drawing/2014/main" id="{F8685137-0882-4CF0-A0CD-30E32313F676}"/>
            </a:ext>
          </a:extLst>
        </xdr:cNvPr>
        <xdr:cNvSpPr/>
      </xdr:nvSpPr>
      <xdr:spPr>
        <a:xfrm>
          <a:off x="6350" y="399383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2230</xdr:row>
      <xdr:rowOff>0</xdr:rowOff>
    </xdr:from>
    <xdr:to>
      <xdr:col>0</xdr:col>
      <xdr:colOff>323850</xdr:colOff>
      <xdr:row>2231</xdr:row>
      <xdr:rowOff>120650</xdr:rowOff>
    </xdr:to>
    <xdr:sp macro="" textlink="">
      <xdr:nvSpPr>
        <xdr:cNvPr id="820" name="Frame 819">
          <a:extLst>
            <a:ext uri="{FF2B5EF4-FFF2-40B4-BE49-F238E27FC236}">
              <a16:creationId xmlns:a16="http://schemas.microsoft.com/office/drawing/2014/main" id="{E47FFB51-5EDD-4D0E-A890-C506FBF2207B}"/>
            </a:ext>
          </a:extLst>
        </xdr:cNvPr>
        <xdr:cNvSpPr/>
      </xdr:nvSpPr>
      <xdr:spPr>
        <a:xfrm>
          <a:off x="0" y="39975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2232</xdr:row>
      <xdr:rowOff>0</xdr:rowOff>
    </xdr:from>
    <xdr:to>
      <xdr:col>0</xdr:col>
      <xdr:colOff>323850</xdr:colOff>
      <xdr:row>2233</xdr:row>
      <xdr:rowOff>120650</xdr:rowOff>
    </xdr:to>
    <xdr:sp macro="" textlink="">
      <xdr:nvSpPr>
        <xdr:cNvPr id="821" name="Frame 820">
          <a:extLst>
            <a:ext uri="{FF2B5EF4-FFF2-40B4-BE49-F238E27FC236}">
              <a16:creationId xmlns:a16="http://schemas.microsoft.com/office/drawing/2014/main" id="{2345A681-F16B-4778-A210-7C5BC6616138}"/>
            </a:ext>
          </a:extLst>
        </xdr:cNvPr>
        <xdr:cNvSpPr/>
      </xdr:nvSpPr>
      <xdr:spPr>
        <a:xfrm>
          <a:off x="0" y="40012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2234</xdr:row>
      <xdr:rowOff>0</xdr:rowOff>
    </xdr:from>
    <xdr:to>
      <xdr:col>0</xdr:col>
      <xdr:colOff>323850</xdr:colOff>
      <xdr:row>2235</xdr:row>
      <xdr:rowOff>120650</xdr:rowOff>
    </xdr:to>
    <xdr:sp macro="" textlink="">
      <xdr:nvSpPr>
        <xdr:cNvPr id="822" name="Frame 821">
          <a:extLst>
            <a:ext uri="{FF2B5EF4-FFF2-40B4-BE49-F238E27FC236}">
              <a16:creationId xmlns:a16="http://schemas.microsoft.com/office/drawing/2014/main" id="{8FD1C25F-4118-4A9D-AC9E-0AD4040288DE}"/>
            </a:ext>
          </a:extLst>
        </xdr:cNvPr>
        <xdr:cNvSpPr/>
      </xdr:nvSpPr>
      <xdr:spPr>
        <a:xfrm>
          <a:off x="0" y="40049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2236</xdr:row>
      <xdr:rowOff>0</xdr:rowOff>
    </xdr:from>
    <xdr:to>
      <xdr:col>0</xdr:col>
      <xdr:colOff>323850</xdr:colOff>
      <xdr:row>2237</xdr:row>
      <xdr:rowOff>120650</xdr:rowOff>
    </xdr:to>
    <xdr:sp macro="" textlink="">
      <xdr:nvSpPr>
        <xdr:cNvPr id="823" name="Frame 822">
          <a:extLst>
            <a:ext uri="{FF2B5EF4-FFF2-40B4-BE49-F238E27FC236}">
              <a16:creationId xmlns:a16="http://schemas.microsoft.com/office/drawing/2014/main" id="{6F07DD6C-F8D2-434C-987D-FA7D8918232E}"/>
            </a:ext>
          </a:extLst>
        </xdr:cNvPr>
        <xdr:cNvSpPr/>
      </xdr:nvSpPr>
      <xdr:spPr>
        <a:xfrm>
          <a:off x="0" y="40086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2238</xdr:row>
      <xdr:rowOff>0</xdr:rowOff>
    </xdr:from>
    <xdr:to>
      <xdr:col>0</xdr:col>
      <xdr:colOff>323850</xdr:colOff>
      <xdr:row>2239</xdr:row>
      <xdr:rowOff>120650</xdr:rowOff>
    </xdr:to>
    <xdr:sp macro="" textlink="">
      <xdr:nvSpPr>
        <xdr:cNvPr id="824" name="Frame 823">
          <a:extLst>
            <a:ext uri="{FF2B5EF4-FFF2-40B4-BE49-F238E27FC236}">
              <a16:creationId xmlns:a16="http://schemas.microsoft.com/office/drawing/2014/main" id="{B7125485-BEFC-4E05-A833-102370614E7D}"/>
            </a:ext>
          </a:extLst>
        </xdr:cNvPr>
        <xdr:cNvSpPr/>
      </xdr:nvSpPr>
      <xdr:spPr>
        <a:xfrm>
          <a:off x="0" y="40123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2240</xdr:row>
      <xdr:rowOff>0</xdr:rowOff>
    </xdr:from>
    <xdr:to>
      <xdr:col>0</xdr:col>
      <xdr:colOff>323850</xdr:colOff>
      <xdr:row>2241</xdr:row>
      <xdr:rowOff>120650</xdr:rowOff>
    </xdr:to>
    <xdr:sp macro="" textlink="">
      <xdr:nvSpPr>
        <xdr:cNvPr id="825" name="Frame 824">
          <a:extLst>
            <a:ext uri="{FF2B5EF4-FFF2-40B4-BE49-F238E27FC236}">
              <a16:creationId xmlns:a16="http://schemas.microsoft.com/office/drawing/2014/main" id="{B713BA38-56CF-44BC-BD20-2C9B59C61C0C}"/>
            </a:ext>
          </a:extLst>
        </xdr:cNvPr>
        <xdr:cNvSpPr/>
      </xdr:nvSpPr>
      <xdr:spPr>
        <a:xfrm>
          <a:off x="0" y="40159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2242</xdr:row>
      <xdr:rowOff>0</xdr:rowOff>
    </xdr:from>
    <xdr:to>
      <xdr:col>0</xdr:col>
      <xdr:colOff>323850</xdr:colOff>
      <xdr:row>2243</xdr:row>
      <xdr:rowOff>120650</xdr:rowOff>
    </xdr:to>
    <xdr:sp macro="" textlink="">
      <xdr:nvSpPr>
        <xdr:cNvPr id="826" name="Frame 825">
          <a:extLst>
            <a:ext uri="{FF2B5EF4-FFF2-40B4-BE49-F238E27FC236}">
              <a16:creationId xmlns:a16="http://schemas.microsoft.com/office/drawing/2014/main" id="{7B3E7B2A-C774-4312-821C-F401A555B245}"/>
            </a:ext>
          </a:extLst>
        </xdr:cNvPr>
        <xdr:cNvSpPr/>
      </xdr:nvSpPr>
      <xdr:spPr>
        <a:xfrm>
          <a:off x="0" y="40196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2244</xdr:row>
      <xdr:rowOff>0</xdr:rowOff>
    </xdr:from>
    <xdr:to>
      <xdr:col>0</xdr:col>
      <xdr:colOff>323850</xdr:colOff>
      <xdr:row>2245</xdr:row>
      <xdr:rowOff>120650</xdr:rowOff>
    </xdr:to>
    <xdr:sp macro="" textlink="">
      <xdr:nvSpPr>
        <xdr:cNvPr id="827" name="Frame 826">
          <a:extLst>
            <a:ext uri="{FF2B5EF4-FFF2-40B4-BE49-F238E27FC236}">
              <a16:creationId xmlns:a16="http://schemas.microsoft.com/office/drawing/2014/main" id="{E0E7D57A-E5E6-4468-8256-7C84D5DC8CA3}"/>
            </a:ext>
          </a:extLst>
        </xdr:cNvPr>
        <xdr:cNvSpPr/>
      </xdr:nvSpPr>
      <xdr:spPr>
        <a:xfrm>
          <a:off x="0" y="40233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2246</xdr:row>
      <xdr:rowOff>0</xdr:rowOff>
    </xdr:from>
    <xdr:to>
      <xdr:col>0</xdr:col>
      <xdr:colOff>323850</xdr:colOff>
      <xdr:row>2247</xdr:row>
      <xdr:rowOff>120650</xdr:rowOff>
    </xdr:to>
    <xdr:sp macro="" textlink="">
      <xdr:nvSpPr>
        <xdr:cNvPr id="828" name="Frame 827">
          <a:extLst>
            <a:ext uri="{FF2B5EF4-FFF2-40B4-BE49-F238E27FC236}">
              <a16:creationId xmlns:a16="http://schemas.microsoft.com/office/drawing/2014/main" id="{13CF4842-C4BA-4463-B352-6C00A3D0F81B}"/>
            </a:ext>
          </a:extLst>
        </xdr:cNvPr>
        <xdr:cNvSpPr/>
      </xdr:nvSpPr>
      <xdr:spPr>
        <a:xfrm>
          <a:off x="0" y="40270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2248</xdr:row>
      <xdr:rowOff>0</xdr:rowOff>
    </xdr:from>
    <xdr:to>
      <xdr:col>0</xdr:col>
      <xdr:colOff>323850</xdr:colOff>
      <xdr:row>2249</xdr:row>
      <xdr:rowOff>120650</xdr:rowOff>
    </xdr:to>
    <xdr:sp macro="" textlink="">
      <xdr:nvSpPr>
        <xdr:cNvPr id="829" name="Frame 828">
          <a:extLst>
            <a:ext uri="{FF2B5EF4-FFF2-40B4-BE49-F238E27FC236}">
              <a16:creationId xmlns:a16="http://schemas.microsoft.com/office/drawing/2014/main" id="{F1032B57-DBD1-4A4A-9C90-E36BB56E7BC2}"/>
            </a:ext>
          </a:extLst>
        </xdr:cNvPr>
        <xdr:cNvSpPr/>
      </xdr:nvSpPr>
      <xdr:spPr>
        <a:xfrm>
          <a:off x="0" y="40307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2250</xdr:row>
      <xdr:rowOff>0</xdr:rowOff>
    </xdr:from>
    <xdr:to>
      <xdr:col>0</xdr:col>
      <xdr:colOff>323850</xdr:colOff>
      <xdr:row>2251</xdr:row>
      <xdr:rowOff>120650</xdr:rowOff>
    </xdr:to>
    <xdr:sp macro="" textlink="">
      <xdr:nvSpPr>
        <xdr:cNvPr id="830" name="Frame 829">
          <a:extLst>
            <a:ext uri="{FF2B5EF4-FFF2-40B4-BE49-F238E27FC236}">
              <a16:creationId xmlns:a16="http://schemas.microsoft.com/office/drawing/2014/main" id="{2091AA81-86C1-4F4E-B5EB-55CAE4C83F76}"/>
            </a:ext>
          </a:extLst>
        </xdr:cNvPr>
        <xdr:cNvSpPr/>
      </xdr:nvSpPr>
      <xdr:spPr>
        <a:xfrm>
          <a:off x="0" y="40344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2252</xdr:row>
      <xdr:rowOff>0</xdr:rowOff>
    </xdr:from>
    <xdr:to>
      <xdr:col>0</xdr:col>
      <xdr:colOff>323850</xdr:colOff>
      <xdr:row>2253</xdr:row>
      <xdr:rowOff>120650</xdr:rowOff>
    </xdr:to>
    <xdr:sp macro="" textlink="">
      <xdr:nvSpPr>
        <xdr:cNvPr id="831" name="Frame 830">
          <a:extLst>
            <a:ext uri="{FF2B5EF4-FFF2-40B4-BE49-F238E27FC236}">
              <a16:creationId xmlns:a16="http://schemas.microsoft.com/office/drawing/2014/main" id="{962C588D-DEE7-4462-921B-D2ED584A421D}"/>
            </a:ext>
          </a:extLst>
        </xdr:cNvPr>
        <xdr:cNvSpPr/>
      </xdr:nvSpPr>
      <xdr:spPr>
        <a:xfrm>
          <a:off x="0" y="40380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2254</xdr:row>
      <xdr:rowOff>0</xdr:rowOff>
    </xdr:from>
    <xdr:to>
      <xdr:col>0</xdr:col>
      <xdr:colOff>323850</xdr:colOff>
      <xdr:row>2255</xdr:row>
      <xdr:rowOff>120650</xdr:rowOff>
    </xdr:to>
    <xdr:sp macro="" textlink="">
      <xdr:nvSpPr>
        <xdr:cNvPr id="832" name="Frame 831">
          <a:extLst>
            <a:ext uri="{FF2B5EF4-FFF2-40B4-BE49-F238E27FC236}">
              <a16:creationId xmlns:a16="http://schemas.microsoft.com/office/drawing/2014/main" id="{01643FDB-B786-4F09-8425-B6DB73A1B1C6}"/>
            </a:ext>
          </a:extLst>
        </xdr:cNvPr>
        <xdr:cNvSpPr/>
      </xdr:nvSpPr>
      <xdr:spPr>
        <a:xfrm>
          <a:off x="0" y="41227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2268</xdr:row>
      <xdr:rowOff>177800</xdr:rowOff>
    </xdr:from>
    <xdr:to>
      <xdr:col>0</xdr:col>
      <xdr:colOff>330200</xdr:colOff>
      <xdr:row>2270</xdr:row>
      <xdr:rowOff>114300</xdr:rowOff>
    </xdr:to>
    <xdr:sp macro="" textlink="">
      <xdr:nvSpPr>
        <xdr:cNvPr id="833" name="Frame 832">
          <a:extLst>
            <a:ext uri="{FF2B5EF4-FFF2-40B4-BE49-F238E27FC236}">
              <a16:creationId xmlns:a16="http://schemas.microsoft.com/office/drawing/2014/main" id="{551163BA-A402-43BF-A828-E2E41702E88B}"/>
            </a:ext>
          </a:extLst>
        </xdr:cNvPr>
        <xdr:cNvSpPr/>
      </xdr:nvSpPr>
      <xdr:spPr>
        <a:xfrm>
          <a:off x="6350" y="40747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2271</xdr:row>
      <xdr:rowOff>0</xdr:rowOff>
    </xdr:from>
    <xdr:to>
      <xdr:col>0</xdr:col>
      <xdr:colOff>323850</xdr:colOff>
      <xdr:row>2272</xdr:row>
      <xdr:rowOff>120650</xdr:rowOff>
    </xdr:to>
    <xdr:sp macro="" textlink="">
      <xdr:nvSpPr>
        <xdr:cNvPr id="834" name="Frame 833">
          <a:extLst>
            <a:ext uri="{FF2B5EF4-FFF2-40B4-BE49-F238E27FC236}">
              <a16:creationId xmlns:a16="http://schemas.microsoft.com/office/drawing/2014/main" id="{CDF24ABC-A04F-4D80-8F22-1E80399AB533}"/>
            </a:ext>
          </a:extLst>
        </xdr:cNvPr>
        <xdr:cNvSpPr/>
      </xdr:nvSpPr>
      <xdr:spPr>
        <a:xfrm>
          <a:off x="0" y="4078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2273</xdr:row>
      <xdr:rowOff>0</xdr:rowOff>
    </xdr:from>
    <xdr:to>
      <xdr:col>0</xdr:col>
      <xdr:colOff>323850</xdr:colOff>
      <xdr:row>2274</xdr:row>
      <xdr:rowOff>120650</xdr:rowOff>
    </xdr:to>
    <xdr:sp macro="" textlink="">
      <xdr:nvSpPr>
        <xdr:cNvPr id="835" name="Frame 834">
          <a:extLst>
            <a:ext uri="{FF2B5EF4-FFF2-40B4-BE49-F238E27FC236}">
              <a16:creationId xmlns:a16="http://schemas.microsoft.com/office/drawing/2014/main" id="{C40FB234-9145-41E9-B4CD-370DCFA9F656}"/>
            </a:ext>
          </a:extLst>
        </xdr:cNvPr>
        <xdr:cNvSpPr/>
      </xdr:nvSpPr>
      <xdr:spPr>
        <a:xfrm>
          <a:off x="0" y="4082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2275</xdr:row>
      <xdr:rowOff>0</xdr:rowOff>
    </xdr:from>
    <xdr:to>
      <xdr:col>0</xdr:col>
      <xdr:colOff>323850</xdr:colOff>
      <xdr:row>2276</xdr:row>
      <xdr:rowOff>120650</xdr:rowOff>
    </xdr:to>
    <xdr:sp macro="" textlink="">
      <xdr:nvSpPr>
        <xdr:cNvPr id="836" name="Frame 835">
          <a:extLst>
            <a:ext uri="{FF2B5EF4-FFF2-40B4-BE49-F238E27FC236}">
              <a16:creationId xmlns:a16="http://schemas.microsoft.com/office/drawing/2014/main" id="{0FC51828-131F-40EA-ACFC-C7B97AF55AAE}"/>
            </a:ext>
          </a:extLst>
        </xdr:cNvPr>
        <xdr:cNvSpPr/>
      </xdr:nvSpPr>
      <xdr:spPr>
        <a:xfrm>
          <a:off x="0" y="4085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2277</xdr:row>
      <xdr:rowOff>0</xdr:rowOff>
    </xdr:from>
    <xdr:to>
      <xdr:col>0</xdr:col>
      <xdr:colOff>323850</xdr:colOff>
      <xdr:row>2278</xdr:row>
      <xdr:rowOff>120650</xdr:rowOff>
    </xdr:to>
    <xdr:sp macro="" textlink="">
      <xdr:nvSpPr>
        <xdr:cNvPr id="837" name="Frame 836">
          <a:extLst>
            <a:ext uri="{FF2B5EF4-FFF2-40B4-BE49-F238E27FC236}">
              <a16:creationId xmlns:a16="http://schemas.microsoft.com/office/drawing/2014/main" id="{97E1D81E-E953-4FD1-B1CE-7D4DAA409231}"/>
            </a:ext>
          </a:extLst>
        </xdr:cNvPr>
        <xdr:cNvSpPr/>
      </xdr:nvSpPr>
      <xdr:spPr>
        <a:xfrm>
          <a:off x="0" y="4089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2279</xdr:row>
      <xdr:rowOff>0</xdr:rowOff>
    </xdr:from>
    <xdr:to>
      <xdr:col>0</xdr:col>
      <xdr:colOff>323850</xdr:colOff>
      <xdr:row>2280</xdr:row>
      <xdr:rowOff>120650</xdr:rowOff>
    </xdr:to>
    <xdr:sp macro="" textlink="">
      <xdr:nvSpPr>
        <xdr:cNvPr id="838" name="Frame 837">
          <a:extLst>
            <a:ext uri="{FF2B5EF4-FFF2-40B4-BE49-F238E27FC236}">
              <a16:creationId xmlns:a16="http://schemas.microsoft.com/office/drawing/2014/main" id="{41558DBF-F20C-4005-90E2-27515B945CB8}"/>
            </a:ext>
          </a:extLst>
        </xdr:cNvPr>
        <xdr:cNvSpPr/>
      </xdr:nvSpPr>
      <xdr:spPr>
        <a:xfrm>
          <a:off x="0" y="4093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2281</xdr:row>
      <xdr:rowOff>0</xdr:rowOff>
    </xdr:from>
    <xdr:to>
      <xdr:col>0</xdr:col>
      <xdr:colOff>323850</xdr:colOff>
      <xdr:row>2282</xdr:row>
      <xdr:rowOff>120650</xdr:rowOff>
    </xdr:to>
    <xdr:sp macro="" textlink="">
      <xdr:nvSpPr>
        <xdr:cNvPr id="839" name="Frame 838">
          <a:extLst>
            <a:ext uri="{FF2B5EF4-FFF2-40B4-BE49-F238E27FC236}">
              <a16:creationId xmlns:a16="http://schemas.microsoft.com/office/drawing/2014/main" id="{ABE61611-C76A-4A09-A540-1BCC354C08FF}"/>
            </a:ext>
          </a:extLst>
        </xdr:cNvPr>
        <xdr:cNvSpPr/>
      </xdr:nvSpPr>
      <xdr:spPr>
        <a:xfrm>
          <a:off x="0" y="4096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2283</xdr:row>
      <xdr:rowOff>0</xdr:rowOff>
    </xdr:from>
    <xdr:to>
      <xdr:col>0</xdr:col>
      <xdr:colOff>323850</xdr:colOff>
      <xdr:row>2284</xdr:row>
      <xdr:rowOff>120650</xdr:rowOff>
    </xdr:to>
    <xdr:sp macro="" textlink="">
      <xdr:nvSpPr>
        <xdr:cNvPr id="840" name="Frame 839">
          <a:extLst>
            <a:ext uri="{FF2B5EF4-FFF2-40B4-BE49-F238E27FC236}">
              <a16:creationId xmlns:a16="http://schemas.microsoft.com/office/drawing/2014/main" id="{8F6E71B1-2EA1-4434-A6F6-88F0A511EE33}"/>
            </a:ext>
          </a:extLst>
        </xdr:cNvPr>
        <xdr:cNvSpPr/>
      </xdr:nvSpPr>
      <xdr:spPr>
        <a:xfrm>
          <a:off x="0" y="4100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2297</xdr:row>
      <xdr:rowOff>177800</xdr:rowOff>
    </xdr:from>
    <xdr:to>
      <xdr:col>0</xdr:col>
      <xdr:colOff>330200</xdr:colOff>
      <xdr:row>2299</xdr:row>
      <xdr:rowOff>114300</xdr:rowOff>
    </xdr:to>
    <xdr:sp macro="" textlink="">
      <xdr:nvSpPr>
        <xdr:cNvPr id="847" name="Frame 846">
          <a:extLst>
            <a:ext uri="{FF2B5EF4-FFF2-40B4-BE49-F238E27FC236}">
              <a16:creationId xmlns:a16="http://schemas.microsoft.com/office/drawing/2014/main" id="{62C52FC2-FE3D-4D85-8387-71331434CF3E}"/>
            </a:ext>
          </a:extLst>
        </xdr:cNvPr>
        <xdr:cNvSpPr/>
      </xdr:nvSpPr>
      <xdr:spPr>
        <a:xfrm>
          <a:off x="6350" y="40747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2300</xdr:row>
      <xdr:rowOff>0</xdr:rowOff>
    </xdr:from>
    <xdr:to>
      <xdr:col>0</xdr:col>
      <xdr:colOff>323850</xdr:colOff>
      <xdr:row>2301</xdr:row>
      <xdr:rowOff>120650</xdr:rowOff>
    </xdr:to>
    <xdr:sp macro="" textlink="">
      <xdr:nvSpPr>
        <xdr:cNvPr id="848" name="Frame 847">
          <a:extLst>
            <a:ext uri="{FF2B5EF4-FFF2-40B4-BE49-F238E27FC236}">
              <a16:creationId xmlns:a16="http://schemas.microsoft.com/office/drawing/2014/main" id="{C7A82961-EFAE-470B-AEE7-49232A872071}"/>
            </a:ext>
          </a:extLst>
        </xdr:cNvPr>
        <xdr:cNvSpPr/>
      </xdr:nvSpPr>
      <xdr:spPr>
        <a:xfrm>
          <a:off x="0" y="4078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2302</xdr:row>
      <xdr:rowOff>0</xdr:rowOff>
    </xdr:from>
    <xdr:to>
      <xdr:col>0</xdr:col>
      <xdr:colOff>323850</xdr:colOff>
      <xdr:row>2303</xdr:row>
      <xdr:rowOff>120650</xdr:rowOff>
    </xdr:to>
    <xdr:sp macro="" textlink="">
      <xdr:nvSpPr>
        <xdr:cNvPr id="849" name="Frame 848">
          <a:extLst>
            <a:ext uri="{FF2B5EF4-FFF2-40B4-BE49-F238E27FC236}">
              <a16:creationId xmlns:a16="http://schemas.microsoft.com/office/drawing/2014/main" id="{EBAE3989-3BAE-478B-9F17-5577F9509780}"/>
            </a:ext>
          </a:extLst>
        </xdr:cNvPr>
        <xdr:cNvSpPr/>
      </xdr:nvSpPr>
      <xdr:spPr>
        <a:xfrm>
          <a:off x="0" y="4082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2304</xdr:row>
      <xdr:rowOff>0</xdr:rowOff>
    </xdr:from>
    <xdr:to>
      <xdr:col>0</xdr:col>
      <xdr:colOff>323850</xdr:colOff>
      <xdr:row>2305</xdr:row>
      <xdr:rowOff>120650</xdr:rowOff>
    </xdr:to>
    <xdr:sp macro="" textlink="">
      <xdr:nvSpPr>
        <xdr:cNvPr id="850" name="Frame 849">
          <a:extLst>
            <a:ext uri="{FF2B5EF4-FFF2-40B4-BE49-F238E27FC236}">
              <a16:creationId xmlns:a16="http://schemas.microsoft.com/office/drawing/2014/main" id="{6C365A87-D465-45BA-9946-4681E4226AAE}"/>
            </a:ext>
          </a:extLst>
        </xdr:cNvPr>
        <xdr:cNvSpPr/>
      </xdr:nvSpPr>
      <xdr:spPr>
        <a:xfrm>
          <a:off x="0" y="4085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2306</xdr:row>
      <xdr:rowOff>0</xdr:rowOff>
    </xdr:from>
    <xdr:to>
      <xdr:col>0</xdr:col>
      <xdr:colOff>323850</xdr:colOff>
      <xdr:row>2307</xdr:row>
      <xdr:rowOff>120650</xdr:rowOff>
    </xdr:to>
    <xdr:sp macro="" textlink="">
      <xdr:nvSpPr>
        <xdr:cNvPr id="851" name="Frame 850">
          <a:extLst>
            <a:ext uri="{FF2B5EF4-FFF2-40B4-BE49-F238E27FC236}">
              <a16:creationId xmlns:a16="http://schemas.microsoft.com/office/drawing/2014/main" id="{3D49DECE-B36B-4D3B-8BF0-079DA3A8623A}"/>
            </a:ext>
          </a:extLst>
        </xdr:cNvPr>
        <xdr:cNvSpPr/>
      </xdr:nvSpPr>
      <xdr:spPr>
        <a:xfrm>
          <a:off x="0" y="4089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2308</xdr:row>
      <xdr:rowOff>0</xdr:rowOff>
    </xdr:from>
    <xdr:to>
      <xdr:col>0</xdr:col>
      <xdr:colOff>323850</xdr:colOff>
      <xdr:row>2309</xdr:row>
      <xdr:rowOff>120650</xdr:rowOff>
    </xdr:to>
    <xdr:sp macro="" textlink="">
      <xdr:nvSpPr>
        <xdr:cNvPr id="852" name="Frame 851">
          <a:extLst>
            <a:ext uri="{FF2B5EF4-FFF2-40B4-BE49-F238E27FC236}">
              <a16:creationId xmlns:a16="http://schemas.microsoft.com/office/drawing/2014/main" id="{2117036C-E492-42BA-9F4B-230F77CD49CB}"/>
            </a:ext>
          </a:extLst>
        </xdr:cNvPr>
        <xdr:cNvSpPr/>
      </xdr:nvSpPr>
      <xdr:spPr>
        <a:xfrm>
          <a:off x="0" y="4093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2310</xdr:row>
      <xdr:rowOff>0</xdr:rowOff>
    </xdr:from>
    <xdr:to>
      <xdr:col>0</xdr:col>
      <xdr:colOff>323850</xdr:colOff>
      <xdr:row>2311</xdr:row>
      <xdr:rowOff>120650</xdr:rowOff>
    </xdr:to>
    <xdr:sp macro="" textlink="">
      <xdr:nvSpPr>
        <xdr:cNvPr id="853" name="Frame 852">
          <a:extLst>
            <a:ext uri="{FF2B5EF4-FFF2-40B4-BE49-F238E27FC236}">
              <a16:creationId xmlns:a16="http://schemas.microsoft.com/office/drawing/2014/main" id="{0A6A5F10-9B75-4940-9488-340A381C3B18}"/>
            </a:ext>
          </a:extLst>
        </xdr:cNvPr>
        <xdr:cNvSpPr/>
      </xdr:nvSpPr>
      <xdr:spPr>
        <a:xfrm>
          <a:off x="0" y="4096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2312</xdr:row>
      <xdr:rowOff>0</xdr:rowOff>
    </xdr:from>
    <xdr:to>
      <xdr:col>0</xdr:col>
      <xdr:colOff>323850</xdr:colOff>
      <xdr:row>2313</xdr:row>
      <xdr:rowOff>120650</xdr:rowOff>
    </xdr:to>
    <xdr:sp macro="" textlink="">
      <xdr:nvSpPr>
        <xdr:cNvPr id="854" name="Frame 853">
          <a:extLst>
            <a:ext uri="{FF2B5EF4-FFF2-40B4-BE49-F238E27FC236}">
              <a16:creationId xmlns:a16="http://schemas.microsoft.com/office/drawing/2014/main" id="{1A8A03A6-2C4D-406B-B995-A3600852D350}"/>
            </a:ext>
          </a:extLst>
        </xdr:cNvPr>
        <xdr:cNvSpPr/>
      </xdr:nvSpPr>
      <xdr:spPr>
        <a:xfrm>
          <a:off x="0" y="4100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2314</xdr:row>
      <xdr:rowOff>0</xdr:rowOff>
    </xdr:from>
    <xdr:to>
      <xdr:col>0</xdr:col>
      <xdr:colOff>323850</xdr:colOff>
      <xdr:row>2315</xdr:row>
      <xdr:rowOff>120650</xdr:rowOff>
    </xdr:to>
    <xdr:sp macro="" textlink="">
      <xdr:nvSpPr>
        <xdr:cNvPr id="855" name="Frame 854">
          <a:extLst>
            <a:ext uri="{FF2B5EF4-FFF2-40B4-BE49-F238E27FC236}">
              <a16:creationId xmlns:a16="http://schemas.microsoft.com/office/drawing/2014/main" id="{AE99A05F-BECF-4FE8-9833-3F7F8ECB058C}"/>
            </a:ext>
          </a:extLst>
        </xdr:cNvPr>
        <xdr:cNvSpPr/>
      </xdr:nvSpPr>
      <xdr:spPr>
        <a:xfrm>
          <a:off x="0" y="4104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2316</xdr:row>
      <xdr:rowOff>0</xdr:rowOff>
    </xdr:from>
    <xdr:to>
      <xdr:col>0</xdr:col>
      <xdr:colOff>323850</xdr:colOff>
      <xdr:row>2317</xdr:row>
      <xdr:rowOff>120650</xdr:rowOff>
    </xdr:to>
    <xdr:sp macro="" textlink="">
      <xdr:nvSpPr>
        <xdr:cNvPr id="856" name="Frame 855">
          <a:extLst>
            <a:ext uri="{FF2B5EF4-FFF2-40B4-BE49-F238E27FC236}">
              <a16:creationId xmlns:a16="http://schemas.microsoft.com/office/drawing/2014/main" id="{27D7519F-DEF1-4697-BC9E-80565F39DCD8}"/>
            </a:ext>
          </a:extLst>
        </xdr:cNvPr>
        <xdr:cNvSpPr/>
      </xdr:nvSpPr>
      <xdr:spPr>
        <a:xfrm>
          <a:off x="0" y="41080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2318</xdr:row>
      <xdr:rowOff>0</xdr:rowOff>
    </xdr:from>
    <xdr:to>
      <xdr:col>0</xdr:col>
      <xdr:colOff>323850</xdr:colOff>
      <xdr:row>2319</xdr:row>
      <xdr:rowOff>120650</xdr:rowOff>
    </xdr:to>
    <xdr:sp macro="" textlink="">
      <xdr:nvSpPr>
        <xdr:cNvPr id="857" name="Frame 856">
          <a:extLst>
            <a:ext uri="{FF2B5EF4-FFF2-40B4-BE49-F238E27FC236}">
              <a16:creationId xmlns:a16="http://schemas.microsoft.com/office/drawing/2014/main" id="{2579B51E-BD27-4316-94D2-6FC03FC2519C}"/>
            </a:ext>
          </a:extLst>
        </xdr:cNvPr>
        <xdr:cNvSpPr/>
      </xdr:nvSpPr>
      <xdr:spPr>
        <a:xfrm>
          <a:off x="0" y="41116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2320</xdr:row>
      <xdr:rowOff>0</xdr:rowOff>
    </xdr:from>
    <xdr:to>
      <xdr:col>0</xdr:col>
      <xdr:colOff>323850</xdr:colOff>
      <xdr:row>2321</xdr:row>
      <xdr:rowOff>120650</xdr:rowOff>
    </xdr:to>
    <xdr:sp macro="" textlink="">
      <xdr:nvSpPr>
        <xdr:cNvPr id="858" name="Frame 857">
          <a:extLst>
            <a:ext uri="{FF2B5EF4-FFF2-40B4-BE49-F238E27FC236}">
              <a16:creationId xmlns:a16="http://schemas.microsoft.com/office/drawing/2014/main" id="{79F14469-A6DB-48CA-A350-48AFE5290D8B}"/>
            </a:ext>
          </a:extLst>
        </xdr:cNvPr>
        <xdr:cNvSpPr/>
      </xdr:nvSpPr>
      <xdr:spPr>
        <a:xfrm>
          <a:off x="0" y="41153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2322</xdr:row>
      <xdr:rowOff>0</xdr:rowOff>
    </xdr:from>
    <xdr:to>
      <xdr:col>0</xdr:col>
      <xdr:colOff>323850</xdr:colOff>
      <xdr:row>2323</xdr:row>
      <xdr:rowOff>120650</xdr:rowOff>
    </xdr:to>
    <xdr:sp macro="" textlink="">
      <xdr:nvSpPr>
        <xdr:cNvPr id="859" name="Frame 858">
          <a:extLst>
            <a:ext uri="{FF2B5EF4-FFF2-40B4-BE49-F238E27FC236}">
              <a16:creationId xmlns:a16="http://schemas.microsoft.com/office/drawing/2014/main" id="{08E445D6-B7F0-4BC8-9DBE-B093F731EF10}"/>
            </a:ext>
          </a:extLst>
        </xdr:cNvPr>
        <xdr:cNvSpPr/>
      </xdr:nvSpPr>
      <xdr:spPr>
        <a:xfrm>
          <a:off x="0" y="41190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323850</xdr:colOff>
      <xdr:row>122</xdr:row>
      <xdr:rowOff>120650</xdr:rowOff>
    </xdr:to>
    <xdr:sp macro="" textlink="">
      <xdr:nvSpPr>
        <xdr:cNvPr id="731" name="Frame 730">
          <a:extLst>
            <a:ext uri="{FF2B5EF4-FFF2-40B4-BE49-F238E27FC236}">
              <a16:creationId xmlns:a16="http://schemas.microsoft.com/office/drawing/2014/main" id="{01B8B1AB-29B8-4A79-A5D3-6B3895C2D9B0}"/>
            </a:ext>
          </a:extLst>
        </xdr:cNvPr>
        <xdr:cNvSpPr/>
      </xdr:nvSpPr>
      <xdr:spPr>
        <a:xfrm>
          <a:off x="0" y="22961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878</xdr:row>
      <xdr:rowOff>0</xdr:rowOff>
    </xdr:from>
    <xdr:to>
      <xdr:col>0</xdr:col>
      <xdr:colOff>323850</xdr:colOff>
      <xdr:row>879</xdr:row>
      <xdr:rowOff>120650</xdr:rowOff>
    </xdr:to>
    <xdr:sp macro="" textlink="">
      <xdr:nvSpPr>
        <xdr:cNvPr id="732" name="Frame 731">
          <a:extLst>
            <a:ext uri="{FF2B5EF4-FFF2-40B4-BE49-F238E27FC236}">
              <a16:creationId xmlns:a16="http://schemas.microsoft.com/office/drawing/2014/main" id="{B27B7E9A-7195-4F6E-9E32-7B93FF7F29DF}"/>
            </a:ext>
          </a:extLst>
        </xdr:cNvPr>
        <xdr:cNvSpPr/>
      </xdr:nvSpPr>
      <xdr:spPr>
        <a:xfrm>
          <a:off x="0" y="15523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880</xdr:row>
      <xdr:rowOff>0</xdr:rowOff>
    </xdr:from>
    <xdr:to>
      <xdr:col>0</xdr:col>
      <xdr:colOff>323850</xdr:colOff>
      <xdr:row>881</xdr:row>
      <xdr:rowOff>120650</xdr:rowOff>
    </xdr:to>
    <xdr:sp macro="" textlink="">
      <xdr:nvSpPr>
        <xdr:cNvPr id="733" name="Frame 732">
          <a:extLst>
            <a:ext uri="{FF2B5EF4-FFF2-40B4-BE49-F238E27FC236}">
              <a16:creationId xmlns:a16="http://schemas.microsoft.com/office/drawing/2014/main" id="{8ABE5595-7EE7-4775-AA80-CEC1E26A600D}"/>
            </a:ext>
          </a:extLst>
        </xdr:cNvPr>
        <xdr:cNvSpPr/>
      </xdr:nvSpPr>
      <xdr:spPr>
        <a:xfrm>
          <a:off x="0" y="15560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2336</xdr:row>
      <xdr:rowOff>177800</xdr:rowOff>
    </xdr:from>
    <xdr:to>
      <xdr:col>0</xdr:col>
      <xdr:colOff>330200</xdr:colOff>
      <xdr:row>2338</xdr:row>
      <xdr:rowOff>114300</xdr:rowOff>
    </xdr:to>
    <xdr:sp macro="" textlink="">
      <xdr:nvSpPr>
        <xdr:cNvPr id="735" name="Frame 734">
          <a:extLst>
            <a:ext uri="{FF2B5EF4-FFF2-40B4-BE49-F238E27FC236}">
              <a16:creationId xmlns:a16="http://schemas.microsoft.com/office/drawing/2014/main" id="{2815AC98-4F6D-4E5E-BCC9-5B4C653CB12D}"/>
            </a:ext>
          </a:extLst>
        </xdr:cNvPr>
        <xdr:cNvSpPr/>
      </xdr:nvSpPr>
      <xdr:spPr>
        <a:xfrm>
          <a:off x="6350" y="4209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2339</xdr:row>
      <xdr:rowOff>0</xdr:rowOff>
    </xdr:from>
    <xdr:to>
      <xdr:col>0</xdr:col>
      <xdr:colOff>323850</xdr:colOff>
      <xdr:row>2340</xdr:row>
      <xdr:rowOff>120650</xdr:rowOff>
    </xdr:to>
    <xdr:sp macro="" textlink="">
      <xdr:nvSpPr>
        <xdr:cNvPr id="736" name="Frame 735">
          <a:extLst>
            <a:ext uri="{FF2B5EF4-FFF2-40B4-BE49-F238E27FC236}">
              <a16:creationId xmlns:a16="http://schemas.microsoft.com/office/drawing/2014/main" id="{C963F910-7B99-4B03-83FE-CE290D69EC74}"/>
            </a:ext>
          </a:extLst>
        </xdr:cNvPr>
        <xdr:cNvSpPr/>
      </xdr:nvSpPr>
      <xdr:spPr>
        <a:xfrm>
          <a:off x="0" y="42128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2341</xdr:row>
      <xdr:rowOff>0</xdr:rowOff>
    </xdr:from>
    <xdr:to>
      <xdr:col>0</xdr:col>
      <xdr:colOff>323850</xdr:colOff>
      <xdr:row>2342</xdr:row>
      <xdr:rowOff>120650</xdr:rowOff>
    </xdr:to>
    <xdr:sp macro="" textlink="">
      <xdr:nvSpPr>
        <xdr:cNvPr id="737" name="Frame 736">
          <a:extLst>
            <a:ext uri="{FF2B5EF4-FFF2-40B4-BE49-F238E27FC236}">
              <a16:creationId xmlns:a16="http://schemas.microsoft.com/office/drawing/2014/main" id="{D01E7FFC-8140-4AF2-B893-D2FDD25BC3B4}"/>
            </a:ext>
          </a:extLst>
        </xdr:cNvPr>
        <xdr:cNvSpPr/>
      </xdr:nvSpPr>
      <xdr:spPr>
        <a:xfrm>
          <a:off x="0" y="42165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2343</xdr:row>
      <xdr:rowOff>0</xdr:rowOff>
    </xdr:from>
    <xdr:to>
      <xdr:col>0</xdr:col>
      <xdr:colOff>323850</xdr:colOff>
      <xdr:row>2344</xdr:row>
      <xdr:rowOff>120650</xdr:rowOff>
    </xdr:to>
    <xdr:sp macro="" textlink="">
      <xdr:nvSpPr>
        <xdr:cNvPr id="738" name="Frame 737">
          <a:extLst>
            <a:ext uri="{FF2B5EF4-FFF2-40B4-BE49-F238E27FC236}">
              <a16:creationId xmlns:a16="http://schemas.microsoft.com/office/drawing/2014/main" id="{DCBD7057-1E17-473A-9A03-B19F349D45AC}"/>
            </a:ext>
          </a:extLst>
        </xdr:cNvPr>
        <xdr:cNvSpPr/>
      </xdr:nvSpPr>
      <xdr:spPr>
        <a:xfrm>
          <a:off x="0" y="42202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2345</xdr:row>
      <xdr:rowOff>0</xdr:rowOff>
    </xdr:from>
    <xdr:to>
      <xdr:col>0</xdr:col>
      <xdr:colOff>323850</xdr:colOff>
      <xdr:row>2346</xdr:row>
      <xdr:rowOff>120650</xdr:rowOff>
    </xdr:to>
    <xdr:sp macro="" textlink="">
      <xdr:nvSpPr>
        <xdr:cNvPr id="739" name="Frame 738">
          <a:extLst>
            <a:ext uri="{FF2B5EF4-FFF2-40B4-BE49-F238E27FC236}">
              <a16:creationId xmlns:a16="http://schemas.microsoft.com/office/drawing/2014/main" id="{2E92B50D-5FAF-4293-BBC0-F8956438E7FD}"/>
            </a:ext>
          </a:extLst>
        </xdr:cNvPr>
        <xdr:cNvSpPr/>
      </xdr:nvSpPr>
      <xdr:spPr>
        <a:xfrm>
          <a:off x="0" y="42238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2347</xdr:row>
      <xdr:rowOff>0</xdr:rowOff>
    </xdr:from>
    <xdr:to>
      <xdr:col>0</xdr:col>
      <xdr:colOff>323850</xdr:colOff>
      <xdr:row>2348</xdr:row>
      <xdr:rowOff>120650</xdr:rowOff>
    </xdr:to>
    <xdr:sp macro="" textlink="">
      <xdr:nvSpPr>
        <xdr:cNvPr id="740" name="Frame 739">
          <a:extLst>
            <a:ext uri="{FF2B5EF4-FFF2-40B4-BE49-F238E27FC236}">
              <a16:creationId xmlns:a16="http://schemas.microsoft.com/office/drawing/2014/main" id="{5FB4BDBE-46C9-4E4C-9E27-C417AF2F0CC0}"/>
            </a:ext>
          </a:extLst>
        </xdr:cNvPr>
        <xdr:cNvSpPr/>
      </xdr:nvSpPr>
      <xdr:spPr>
        <a:xfrm>
          <a:off x="0" y="42275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2349</xdr:row>
      <xdr:rowOff>0</xdr:rowOff>
    </xdr:from>
    <xdr:to>
      <xdr:col>0</xdr:col>
      <xdr:colOff>323850</xdr:colOff>
      <xdr:row>2350</xdr:row>
      <xdr:rowOff>120650</xdr:rowOff>
    </xdr:to>
    <xdr:sp macro="" textlink="">
      <xdr:nvSpPr>
        <xdr:cNvPr id="766" name="Frame 765">
          <a:extLst>
            <a:ext uri="{FF2B5EF4-FFF2-40B4-BE49-F238E27FC236}">
              <a16:creationId xmlns:a16="http://schemas.microsoft.com/office/drawing/2014/main" id="{1704D43A-11A6-475B-9A91-B96C4C7EA9D7}"/>
            </a:ext>
          </a:extLst>
        </xdr:cNvPr>
        <xdr:cNvSpPr/>
      </xdr:nvSpPr>
      <xdr:spPr>
        <a:xfrm>
          <a:off x="0" y="42312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2351</xdr:row>
      <xdr:rowOff>0</xdr:rowOff>
    </xdr:from>
    <xdr:to>
      <xdr:col>0</xdr:col>
      <xdr:colOff>323850</xdr:colOff>
      <xdr:row>2352</xdr:row>
      <xdr:rowOff>120650</xdr:rowOff>
    </xdr:to>
    <xdr:sp macro="" textlink="">
      <xdr:nvSpPr>
        <xdr:cNvPr id="779" name="Frame 778">
          <a:extLst>
            <a:ext uri="{FF2B5EF4-FFF2-40B4-BE49-F238E27FC236}">
              <a16:creationId xmlns:a16="http://schemas.microsoft.com/office/drawing/2014/main" id="{FDB4D8D2-F12D-4E70-839B-D17F805802A4}"/>
            </a:ext>
          </a:extLst>
        </xdr:cNvPr>
        <xdr:cNvSpPr/>
      </xdr:nvSpPr>
      <xdr:spPr>
        <a:xfrm>
          <a:off x="0" y="42349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323850</xdr:colOff>
      <xdr:row>192</xdr:row>
      <xdr:rowOff>120650</xdr:rowOff>
    </xdr:to>
    <xdr:sp macro="" textlink="">
      <xdr:nvSpPr>
        <xdr:cNvPr id="12" name="Frame 65">
          <a:extLst>
            <a:ext uri="{FF2B5EF4-FFF2-40B4-BE49-F238E27FC236}">
              <a16:creationId xmlns:a16="http://schemas.microsoft.com/office/drawing/2014/main" id="{DCF5DC73-2552-4577-A77D-0D13FD5498F2}"/>
            </a:ext>
            <a:ext uri="{147F2762-F138-4A5C-976F-8EAC2B608ADB}">
              <a16:predDERef xmlns:a16="http://schemas.microsoft.com/office/drawing/2014/main" pred="{FDB4D8D2-F12D-4E70-839B-D17F805802A4}"/>
            </a:ext>
          </a:extLst>
        </xdr:cNvPr>
        <xdr:cNvSpPr/>
      </xdr:nvSpPr>
      <xdr:spPr>
        <a:xfrm>
          <a:off x="0" y="344138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671</xdr:row>
      <xdr:rowOff>177800</xdr:rowOff>
    </xdr:from>
    <xdr:to>
      <xdr:col>0</xdr:col>
      <xdr:colOff>330200</xdr:colOff>
      <xdr:row>673</xdr:row>
      <xdr:rowOff>114300</xdr:rowOff>
    </xdr:to>
    <xdr:sp macro="" textlink="">
      <xdr:nvSpPr>
        <xdr:cNvPr id="780" name="Frame 779">
          <a:extLst>
            <a:ext uri="{FF2B5EF4-FFF2-40B4-BE49-F238E27FC236}">
              <a16:creationId xmlns:a16="http://schemas.microsoft.com/office/drawing/2014/main" id="{61EADDC3-3A6A-4989-AA6E-94C17951D17D}"/>
            </a:ext>
          </a:extLst>
        </xdr:cNvPr>
        <xdr:cNvSpPr/>
      </xdr:nvSpPr>
      <xdr:spPr>
        <a:xfrm>
          <a:off x="6350" y="295281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323850</xdr:colOff>
      <xdr:row>675</xdr:row>
      <xdr:rowOff>120650</xdr:rowOff>
    </xdr:to>
    <xdr:sp macro="" textlink="">
      <xdr:nvSpPr>
        <xdr:cNvPr id="781" name="Frame 780">
          <a:extLst>
            <a:ext uri="{FF2B5EF4-FFF2-40B4-BE49-F238E27FC236}">
              <a16:creationId xmlns:a16="http://schemas.microsoft.com/office/drawing/2014/main" id="{D059BD7D-E76F-4326-A19F-3E62FC32895D}"/>
            </a:ext>
          </a:extLst>
        </xdr:cNvPr>
        <xdr:cNvSpPr/>
      </xdr:nvSpPr>
      <xdr:spPr>
        <a:xfrm>
          <a:off x="0" y="29565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676</xdr:row>
      <xdr:rowOff>0</xdr:rowOff>
    </xdr:from>
    <xdr:to>
      <xdr:col>0</xdr:col>
      <xdr:colOff>323850</xdr:colOff>
      <xdr:row>677</xdr:row>
      <xdr:rowOff>120650</xdr:rowOff>
    </xdr:to>
    <xdr:sp macro="" textlink="">
      <xdr:nvSpPr>
        <xdr:cNvPr id="782" name="Frame 781">
          <a:extLst>
            <a:ext uri="{FF2B5EF4-FFF2-40B4-BE49-F238E27FC236}">
              <a16:creationId xmlns:a16="http://schemas.microsoft.com/office/drawing/2014/main" id="{AD1C35F2-FBCC-40B8-8519-9CD345A48B71}"/>
            </a:ext>
          </a:extLst>
        </xdr:cNvPr>
        <xdr:cNvSpPr/>
      </xdr:nvSpPr>
      <xdr:spPr>
        <a:xfrm>
          <a:off x="0" y="29602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2365</xdr:row>
      <xdr:rowOff>177800</xdr:rowOff>
    </xdr:from>
    <xdr:to>
      <xdr:col>0</xdr:col>
      <xdr:colOff>330200</xdr:colOff>
      <xdr:row>2367</xdr:row>
      <xdr:rowOff>114300</xdr:rowOff>
    </xdr:to>
    <xdr:sp macro="" textlink="">
      <xdr:nvSpPr>
        <xdr:cNvPr id="734" name="Frame 733">
          <a:extLst>
            <a:ext uri="{FF2B5EF4-FFF2-40B4-BE49-F238E27FC236}">
              <a16:creationId xmlns:a16="http://schemas.microsoft.com/office/drawing/2014/main" id="{8530DB64-14A5-4022-AAEC-17B07E6DD7C7}"/>
            </a:ext>
          </a:extLst>
        </xdr:cNvPr>
        <xdr:cNvSpPr/>
      </xdr:nvSpPr>
      <xdr:spPr>
        <a:xfrm>
          <a:off x="6350" y="419963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2368</xdr:row>
      <xdr:rowOff>0</xdr:rowOff>
    </xdr:from>
    <xdr:to>
      <xdr:col>0</xdr:col>
      <xdr:colOff>323850</xdr:colOff>
      <xdr:row>2369</xdr:row>
      <xdr:rowOff>120650</xdr:rowOff>
    </xdr:to>
    <xdr:sp macro="" textlink="">
      <xdr:nvSpPr>
        <xdr:cNvPr id="783" name="Frame 782">
          <a:extLst>
            <a:ext uri="{FF2B5EF4-FFF2-40B4-BE49-F238E27FC236}">
              <a16:creationId xmlns:a16="http://schemas.microsoft.com/office/drawing/2014/main" id="{73CC0B02-39A1-4AF2-A851-5B2ACCE94173}"/>
            </a:ext>
          </a:extLst>
        </xdr:cNvPr>
        <xdr:cNvSpPr/>
      </xdr:nvSpPr>
      <xdr:spPr>
        <a:xfrm>
          <a:off x="0" y="420338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2370</xdr:row>
      <xdr:rowOff>0</xdr:rowOff>
    </xdr:from>
    <xdr:to>
      <xdr:col>0</xdr:col>
      <xdr:colOff>323850</xdr:colOff>
      <xdr:row>2371</xdr:row>
      <xdr:rowOff>120650</xdr:rowOff>
    </xdr:to>
    <xdr:sp macro="" textlink="">
      <xdr:nvSpPr>
        <xdr:cNvPr id="784" name="Frame 783">
          <a:extLst>
            <a:ext uri="{FF2B5EF4-FFF2-40B4-BE49-F238E27FC236}">
              <a16:creationId xmlns:a16="http://schemas.microsoft.com/office/drawing/2014/main" id="{CACAD628-0CBB-46C2-9DCF-0870572BEF65}"/>
            </a:ext>
          </a:extLst>
        </xdr:cNvPr>
        <xdr:cNvSpPr/>
      </xdr:nvSpPr>
      <xdr:spPr>
        <a:xfrm>
          <a:off x="0" y="420706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2372</xdr:row>
      <xdr:rowOff>0</xdr:rowOff>
    </xdr:from>
    <xdr:to>
      <xdr:col>0</xdr:col>
      <xdr:colOff>323850</xdr:colOff>
      <xdr:row>2373</xdr:row>
      <xdr:rowOff>120650</xdr:rowOff>
    </xdr:to>
    <xdr:sp macro="" textlink="">
      <xdr:nvSpPr>
        <xdr:cNvPr id="785" name="Frame 784">
          <a:extLst>
            <a:ext uri="{FF2B5EF4-FFF2-40B4-BE49-F238E27FC236}">
              <a16:creationId xmlns:a16="http://schemas.microsoft.com/office/drawing/2014/main" id="{70783E4A-927A-4CC0-AF88-7F77B5458154}"/>
            </a:ext>
          </a:extLst>
        </xdr:cNvPr>
        <xdr:cNvSpPr/>
      </xdr:nvSpPr>
      <xdr:spPr>
        <a:xfrm>
          <a:off x="0" y="42107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2374</xdr:row>
      <xdr:rowOff>0</xdr:rowOff>
    </xdr:from>
    <xdr:to>
      <xdr:col>0</xdr:col>
      <xdr:colOff>323850</xdr:colOff>
      <xdr:row>2375</xdr:row>
      <xdr:rowOff>120650</xdr:rowOff>
    </xdr:to>
    <xdr:sp macro="" textlink="">
      <xdr:nvSpPr>
        <xdr:cNvPr id="786" name="Frame 785">
          <a:extLst>
            <a:ext uri="{FF2B5EF4-FFF2-40B4-BE49-F238E27FC236}">
              <a16:creationId xmlns:a16="http://schemas.microsoft.com/office/drawing/2014/main" id="{86398A73-07A4-4286-97C8-543F4DEE60DF}"/>
            </a:ext>
          </a:extLst>
        </xdr:cNvPr>
        <xdr:cNvSpPr/>
      </xdr:nvSpPr>
      <xdr:spPr>
        <a:xfrm>
          <a:off x="0" y="42144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2376</xdr:row>
      <xdr:rowOff>0</xdr:rowOff>
    </xdr:from>
    <xdr:to>
      <xdr:col>0</xdr:col>
      <xdr:colOff>323850</xdr:colOff>
      <xdr:row>2377</xdr:row>
      <xdr:rowOff>120650</xdr:rowOff>
    </xdr:to>
    <xdr:sp macro="" textlink="">
      <xdr:nvSpPr>
        <xdr:cNvPr id="816" name="Frame 815">
          <a:extLst>
            <a:ext uri="{FF2B5EF4-FFF2-40B4-BE49-F238E27FC236}">
              <a16:creationId xmlns:a16="http://schemas.microsoft.com/office/drawing/2014/main" id="{3FAFCF76-59E7-4F42-842A-7FC8F1F8C83D}"/>
            </a:ext>
          </a:extLst>
        </xdr:cNvPr>
        <xdr:cNvSpPr/>
      </xdr:nvSpPr>
      <xdr:spPr>
        <a:xfrm>
          <a:off x="0" y="42181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2378</xdr:row>
      <xdr:rowOff>0</xdr:rowOff>
    </xdr:from>
    <xdr:to>
      <xdr:col>0</xdr:col>
      <xdr:colOff>323850</xdr:colOff>
      <xdr:row>2379</xdr:row>
      <xdr:rowOff>120650</xdr:rowOff>
    </xdr:to>
    <xdr:sp macro="" textlink="">
      <xdr:nvSpPr>
        <xdr:cNvPr id="817" name="Frame 816">
          <a:extLst>
            <a:ext uri="{FF2B5EF4-FFF2-40B4-BE49-F238E27FC236}">
              <a16:creationId xmlns:a16="http://schemas.microsoft.com/office/drawing/2014/main" id="{A0EB406D-433F-447F-A37C-D3F02F3BF6C6}"/>
            </a:ext>
          </a:extLst>
        </xdr:cNvPr>
        <xdr:cNvSpPr/>
      </xdr:nvSpPr>
      <xdr:spPr>
        <a:xfrm>
          <a:off x="0" y="42217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2380</xdr:row>
      <xdr:rowOff>0</xdr:rowOff>
    </xdr:from>
    <xdr:to>
      <xdr:col>0</xdr:col>
      <xdr:colOff>323850</xdr:colOff>
      <xdr:row>2381</xdr:row>
      <xdr:rowOff>120650</xdr:rowOff>
    </xdr:to>
    <xdr:sp macro="" textlink="">
      <xdr:nvSpPr>
        <xdr:cNvPr id="818" name="Frame 817">
          <a:extLst>
            <a:ext uri="{FF2B5EF4-FFF2-40B4-BE49-F238E27FC236}">
              <a16:creationId xmlns:a16="http://schemas.microsoft.com/office/drawing/2014/main" id="{E36ECD84-31B8-4140-A173-82A2D2E6717B}"/>
            </a:ext>
          </a:extLst>
        </xdr:cNvPr>
        <xdr:cNvSpPr/>
      </xdr:nvSpPr>
      <xdr:spPr>
        <a:xfrm>
          <a:off x="0" y="42254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2382</xdr:row>
      <xdr:rowOff>0</xdr:rowOff>
    </xdr:from>
    <xdr:to>
      <xdr:col>0</xdr:col>
      <xdr:colOff>323850</xdr:colOff>
      <xdr:row>2383</xdr:row>
      <xdr:rowOff>120650</xdr:rowOff>
    </xdr:to>
    <xdr:sp macro="" textlink="">
      <xdr:nvSpPr>
        <xdr:cNvPr id="841" name="Frame 840">
          <a:extLst>
            <a:ext uri="{FF2B5EF4-FFF2-40B4-BE49-F238E27FC236}">
              <a16:creationId xmlns:a16="http://schemas.microsoft.com/office/drawing/2014/main" id="{65022BD2-7070-4220-A7FF-2AD19487C601}"/>
            </a:ext>
          </a:extLst>
        </xdr:cNvPr>
        <xdr:cNvSpPr/>
      </xdr:nvSpPr>
      <xdr:spPr>
        <a:xfrm>
          <a:off x="0" y="42291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2384</xdr:row>
      <xdr:rowOff>0</xdr:rowOff>
    </xdr:from>
    <xdr:to>
      <xdr:col>0</xdr:col>
      <xdr:colOff>323850</xdr:colOff>
      <xdr:row>2385</xdr:row>
      <xdr:rowOff>120650</xdr:rowOff>
    </xdr:to>
    <xdr:sp macro="" textlink="">
      <xdr:nvSpPr>
        <xdr:cNvPr id="842" name="Frame 841">
          <a:extLst>
            <a:ext uri="{FF2B5EF4-FFF2-40B4-BE49-F238E27FC236}">
              <a16:creationId xmlns:a16="http://schemas.microsoft.com/office/drawing/2014/main" id="{C100F189-D945-40A2-9F99-C7F628416BDE}"/>
            </a:ext>
          </a:extLst>
        </xdr:cNvPr>
        <xdr:cNvSpPr/>
      </xdr:nvSpPr>
      <xdr:spPr>
        <a:xfrm>
          <a:off x="0" y="42328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2386</xdr:row>
      <xdr:rowOff>0</xdr:rowOff>
    </xdr:from>
    <xdr:to>
      <xdr:col>0</xdr:col>
      <xdr:colOff>323850</xdr:colOff>
      <xdr:row>2387</xdr:row>
      <xdr:rowOff>120650</xdr:rowOff>
    </xdr:to>
    <xdr:sp macro="" textlink="">
      <xdr:nvSpPr>
        <xdr:cNvPr id="843" name="Frame 842">
          <a:extLst>
            <a:ext uri="{FF2B5EF4-FFF2-40B4-BE49-F238E27FC236}">
              <a16:creationId xmlns:a16="http://schemas.microsoft.com/office/drawing/2014/main" id="{2B6956C6-D0FF-4BE3-9282-99C36CB0739F}"/>
            </a:ext>
          </a:extLst>
        </xdr:cNvPr>
        <xdr:cNvSpPr/>
      </xdr:nvSpPr>
      <xdr:spPr>
        <a:xfrm>
          <a:off x="0" y="42365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25400</xdr:colOff>
      <xdr:row>2388</xdr:row>
      <xdr:rowOff>12700</xdr:rowOff>
    </xdr:from>
    <xdr:to>
      <xdr:col>0</xdr:col>
      <xdr:colOff>349250</xdr:colOff>
      <xdr:row>2389</xdr:row>
      <xdr:rowOff>133350</xdr:rowOff>
    </xdr:to>
    <xdr:sp macro="" textlink="">
      <xdr:nvSpPr>
        <xdr:cNvPr id="844" name="Frame 843">
          <a:extLst>
            <a:ext uri="{FF2B5EF4-FFF2-40B4-BE49-F238E27FC236}">
              <a16:creationId xmlns:a16="http://schemas.microsoft.com/office/drawing/2014/main" id="{716E55F7-873C-49FA-915F-091CD85A1CEF}"/>
            </a:ext>
          </a:extLst>
        </xdr:cNvPr>
        <xdr:cNvSpPr/>
      </xdr:nvSpPr>
      <xdr:spPr>
        <a:xfrm>
          <a:off x="25400" y="436911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2390</xdr:row>
      <xdr:rowOff>0</xdr:rowOff>
    </xdr:from>
    <xdr:to>
      <xdr:col>0</xdr:col>
      <xdr:colOff>323850</xdr:colOff>
      <xdr:row>2391</xdr:row>
      <xdr:rowOff>120650</xdr:rowOff>
    </xdr:to>
    <xdr:sp macro="" textlink="">
      <xdr:nvSpPr>
        <xdr:cNvPr id="846" name="Frame 845">
          <a:extLst>
            <a:ext uri="{FF2B5EF4-FFF2-40B4-BE49-F238E27FC236}">
              <a16:creationId xmlns:a16="http://schemas.microsoft.com/office/drawing/2014/main" id="{C2629229-9C27-4F69-89D2-5E8BF900BB58}"/>
            </a:ext>
          </a:extLst>
        </xdr:cNvPr>
        <xdr:cNvSpPr/>
      </xdr:nvSpPr>
      <xdr:spPr>
        <a:xfrm>
          <a:off x="0" y="43726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2392</xdr:row>
      <xdr:rowOff>0</xdr:rowOff>
    </xdr:from>
    <xdr:to>
      <xdr:col>0</xdr:col>
      <xdr:colOff>323850</xdr:colOff>
      <xdr:row>2393</xdr:row>
      <xdr:rowOff>120650</xdr:rowOff>
    </xdr:to>
    <xdr:sp macro="" textlink="">
      <xdr:nvSpPr>
        <xdr:cNvPr id="860" name="Frame 859">
          <a:extLst>
            <a:ext uri="{FF2B5EF4-FFF2-40B4-BE49-F238E27FC236}">
              <a16:creationId xmlns:a16="http://schemas.microsoft.com/office/drawing/2014/main" id="{4A588699-1C60-4784-A42E-D1FA47C1C084}"/>
            </a:ext>
          </a:extLst>
        </xdr:cNvPr>
        <xdr:cNvSpPr/>
      </xdr:nvSpPr>
      <xdr:spPr>
        <a:xfrm>
          <a:off x="0" y="43763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2415</xdr:row>
      <xdr:rowOff>177800</xdr:rowOff>
    </xdr:from>
    <xdr:to>
      <xdr:col>0</xdr:col>
      <xdr:colOff>330200</xdr:colOff>
      <xdr:row>2417</xdr:row>
      <xdr:rowOff>114300</xdr:rowOff>
    </xdr:to>
    <xdr:sp macro="" textlink="">
      <xdr:nvSpPr>
        <xdr:cNvPr id="845" name="Frame 733">
          <a:extLst>
            <a:ext uri="{FF2B5EF4-FFF2-40B4-BE49-F238E27FC236}">
              <a16:creationId xmlns:a16="http://schemas.microsoft.com/office/drawing/2014/main" id="{55B773F7-16B6-48CE-B732-3AC424DF7843}"/>
            </a:ext>
            <a:ext uri="{147F2762-F138-4A5C-976F-8EAC2B608ADB}">
              <a16:predDERef xmlns:a16="http://schemas.microsoft.com/office/drawing/2014/main" pred="{8B22B550-3F27-422C-9BA7-29E8592C3265}"/>
            </a:ext>
          </a:extLst>
        </xdr:cNvPr>
        <xdr:cNvSpPr/>
      </xdr:nvSpPr>
      <xdr:spPr>
        <a:xfrm>
          <a:off x="6350" y="4461668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2418</xdr:row>
      <xdr:rowOff>0</xdr:rowOff>
    </xdr:from>
    <xdr:to>
      <xdr:col>0</xdr:col>
      <xdr:colOff>323850</xdr:colOff>
      <xdr:row>2419</xdr:row>
      <xdr:rowOff>120650</xdr:rowOff>
    </xdr:to>
    <xdr:sp macro="" textlink="">
      <xdr:nvSpPr>
        <xdr:cNvPr id="862" name="Frame 782">
          <a:extLst>
            <a:ext uri="{FF2B5EF4-FFF2-40B4-BE49-F238E27FC236}">
              <a16:creationId xmlns:a16="http://schemas.microsoft.com/office/drawing/2014/main" id="{7D83399F-EB53-4968-9AA9-BDE52B1AE78E}"/>
            </a:ext>
            <a:ext uri="{147F2762-F138-4A5C-976F-8EAC2B608ADB}">
              <a16:predDERef xmlns:a16="http://schemas.microsoft.com/office/drawing/2014/main" pred="{55B773F7-16B6-48CE-B732-3AC424DF7843}"/>
            </a:ext>
          </a:extLst>
        </xdr:cNvPr>
        <xdr:cNvSpPr/>
      </xdr:nvSpPr>
      <xdr:spPr>
        <a:xfrm>
          <a:off x="0" y="4465605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2420</xdr:row>
      <xdr:rowOff>0</xdr:rowOff>
    </xdr:from>
    <xdr:to>
      <xdr:col>0</xdr:col>
      <xdr:colOff>323850</xdr:colOff>
      <xdr:row>2421</xdr:row>
      <xdr:rowOff>120650</xdr:rowOff>
    </xdr:to>
    <xdr:sp macro="" textlink="">
      <xdr:nvSpPr>
        <xdr:cNvPr id="863" name="Frame 783">
          <a:extLst>
            <a:ext uri="{FF2B5EF4-FFF2-40B4-BE49-F238E27FC236}">
              <a16:creationId xmlns:a16="http://schemas.microsoft.com/office/drawing/2014/main" id="{FD78A22B-B2CC-4E60-9516-3EEB62DE1073}"/>
            </a:ext>
            <a:ext uri="{147F2762-F138-4A5C-976F-8EAC2B608ADB}">
              <a16:predDERef xmlns:a16="http://schemas.microsoft.com/office/drawing/2014/main" pred="{7D83399F-EB53-4968-9AA9-BDE52B1AE78E}"/>
            </a:ext>
          </a:extLst>
        </xdr:cNvPr>
        <xdr:cNvSpPr/>
      </xdr:nvSpPr>
      <xdr:spPr>
        <a:xfrm>
          <a:off x="0" y="4469415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964</xdr:row>
      <xdr:rowOff>0</xdr:rowOff>
    </xdr:from>
    <xdr:to>
      <xdr:col>0</xdr:col>
      <xdr:colOff>323850</xdr:colOff>
      <xdr:row>965</xdr:row>
      <xdr:rowOff>120650</xdr:rowOff>
    </xdr:to>
    <xdr:sp macro="" textlink="">
      <xdr:nvSpPr>
        <xdr:cNvPr id="13" name="Frame 283">
          <a:extLst>
            <a:ext uri="{FF2B5EF4-FFF2-40B4-BE49-F238E27FC236}">
              <a16:creationId xmlns:a16="http://schemas.microsoft.com/office/drawing/2014/main" id="{3285FCF0-D032-4B64-8F83-F910BA6E3AB8}"/>
            </a:ext>
            <a:ext uri="{147F2762-F138-4A5C-976F-8EAC2B608ADB}">
              <a16:predDERef xmlns:a16="http://schemas.microsoft.com/office/drawing/2014/main" pred="{FD78A22B-B2CC-4E60-9516-3EEB62DE1073}"/>
            </a:ext>
          </a:extLst>
        </xdr:cNvPr>
        <xdr:cNvSpPr/>
      </xdr:nvSpPr>
      <xdr:spPr>
        <a:xfrm>
          <a:off x="0" y="1752314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966</xdr:row>
      <xdr:rowOff>0</xdr:rowOff>
    </xdr:from>
    <xdr:to>
      <xdr:col>0</xdr:col>
      <xdr:colOff>323850</xdr:colOff>
      <xdr:row>967</xdr:row>
      <xdr:rowOff>120650</xdr:rowOff>
    </xdr:to>
    <xdr:sp macro="" textlink="">
      <xdr:nvSpPr>
        <xdr:cNvPr id="25" name="Frame 283">
          <a:extLst>
            <a:ext uri="{FF2B5EF4-FFF2-40B4-BE49-F238E27FC236}">
              <a16:creationId xmlns:a16="http://schemas.microsoft.com/office/drawing/2014/main" id="{41D0564A-5FCA-4261-9C5C-ACC612D8EC47}"/>
            </a:ext>
            <a:ext uri="{147F2762-F138-4A5C-976F-8EAC2B608ADB}">
              <a16:predDERef xmlns:a16="http://schemas.microsoft.com/office/drawing/2014/main" pred="{3285FCF0-D032-4B64-8F83-F910BA6E3AB8}"/>
            </a:ext>
          </a:extLst>
        </xdr:cNvPr>
        <xdr:cNvSpPr/>
      </xdr:nvSpPr>
      <xdr:spPr>
        <a:xfrm>
          <a:off x="0" y="1756124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2435</xdr:row>
      <xdr:rowOff>177800</xdr:rowOff>
    </xdr:from>
    <xdr:to>
      <xdr:col>0</xdr:col>
      <xdr:colOff>330200</xdr:colOff>
      <xdr:row>2437</xdr:row>
      <xdr:rowOff>114300</xdr:rowOff>
    </xdr:to>
    <xdr:sp macro="" textlink="">
      <xdr:nvSpPr>
        <xdr:cNvPr id="864" name="Frame 733">
          <a:extLst>
            <a:ext uri="{FF2B5EF4-FFF2-40B4-BE49-F238E27FC236}">
              <a16:creationId xmlns:a16="http://schemas.microsoft.com/office/drawing/2014/main" id="{B6392A31-7F95-4E99-9317-FBC35049CCED}"/>
            </a:ext>
            <a:ext uri="{147F2762-F138-4A5C-976F-8EAC2B608ADB}">
              <a16:predDERef xmlns:a16="http://schemas.microsoft.com/office/drawing/2014/main" pred="{41D0564A-5FCA-4261-9C5C-ACC612D8EC47}"/>
            </a:ext>
          </a:extLst>
        </xdr:cNvPr>
        <xdr:cNvSpPr/>
      </xdr:nvSpPr>
      <xdr:spPr>
        <a:xfrm>
          <a:off x="6350" y="4549203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2468</xdr:row>
      <xdr:rowOff>177800</xdr:rowOff>
    </xdr:from>
    <xdr:to>
      <xdr:col>0</xdr:col>
      <xdr:colOff>330200</xdr:colOff>
      <xdr:row>2470</xdr:row>
      <xdr:rowOff>114300</xdr:rowOff>
    </xdr:to>
    <xdr:sp macro="" textlink="">
      <xdr:nvSpPr>
        <xdr:cNvPr id="865" name="Frame 733">
          <a:extLst>
            <a:ext uri="{FF2B5EF4-FFF2-40B4-BE49-F238E27FC236}">
              <a16:creationId xmlns:a16="http://schemas.microsoft.com/office/drawing/2014/main" id="{4D30E793-9D71-45F5-8872-F084A44F6578}"/>
            </a:ext>
            <a:ext uri="{147F2762-F138-4A5C-976F-8EAC2B608ADB}">
              <a16:predDERef xmlns:a16="http://schemas.microsoft.com/office/drawing/2014/main" pred="{B6392A31-7F95-4E99-9317-FBC35049CCED}"/>
            </a:ext>
          </a:extLst>
        </xdr:cNvPr>
        <xdr:cNvSpPr/>
      </xdr:nvSpPr>
      <xdr:spPr>
        <a:xfrm>
          <a:off x="6350" y="4586922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2471</xdr:row>
      <xdr:rowOff>0</xdr:rowOff>
    </xdr:from>
    <xdr:to>
      <xdr:col>0</xdr:col>
      <xdr:colOff>323850</xdr:colOff>
      <xdr:row>2472</xdr:row>
      <xdr:rowOff>127000</xdr:rowOff>
    </xdr:to>
    <xdr:sp macro="" textlink="">
      <xdr:nvSpPr>
        <xdr:cNvPr id="26" name="Frame 733">
          <a:extLst>
            <a:ext uri="{FF2B5EF4-FFF2-40B4-BE49-F238E27FC236}">
              <a16:creationId xmlns:a16="http://schemas.microsoft.com/office/drawing/2014/main" id="{77EB459E-D4DA-4C0E-9BD0-DE1BA95170E0}"/>
            </a:ext>
            <a:ext uri="{147F2762-F138-4A5C-976F-8EAC2B608ADB}">
              <a16:predDERef xmlns:a16="http://schemas.microsoft.com/office/drawing/2014/main" pred="{4D30E793-9D71-45F5-8872-F084A44F6578}"/>
            </a:ext>
          </a:extLst>
        </xdr:cNvPr>
        <xdr:cNvSpPr/>
      </xdr:nvSpPr>
      <xdr:spPr>
        <a:xfrm>
          <a:off x="0" y="463619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2473</xdr:row>
      <xdr:rowOff>0</xdr:rowOff>
    </xdr:from>
    <xdr:to>
      <xdr:col>0</xdr:col>
      <xdr:colOff>323850</xdr:colOff>
      <xdr:row>2474</xdr:row>
      <xdr:rowOff>127000</xdr:rowOff>
    </xdr:to>
    <xdr:sp macro="" textlink="">
      <xdr:nvSpPr>
        <xdr:cNvPr id="37" name="Frame 733">
          <a:extLst>
            <a:ext uri="{FF2B5EF4-FFF2-40B4-BE49-F238E27FC236}">
              <a16:creationId xmlns:a16="http://schemas.microsoft.com/office/drawing/2014/main" id="{4C99C97A-64E2-4678-8D7C-97AF6DB38FC7}"/>
            </a:ext>
            <a:ext uri="{147F2762-F138-4A5C-976F-8EAC2B608ADB}">
              <a16:predDERef xmlns:a16="http://schemas.microsoft.com/office/drawing/2014/main" pred="{77EB459E-D4DA-4C0E-9BD0-DE1BA95170E0}"/>
            </a:ext>
          </a:extLst>
        </xdr:cNvPr>
        <xdr:cNvSpPr/>
      </xdr:nvSpPr>
      <xdr:spPr>
        <a:xfrm>
          <a:off x="0" y="464000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2475</xdr:row>
      <xdr:rowOff>0</xdr:rowOff>
    </xdr:from>
    <xdr:to>
      <xdr:col>0</xdr:col>
      <xdr:colOff>323850</xdr:colOff>
      <xdr:row>2476</xdr:row>
      <xdr:rowOff>127000</xdr:rowOff>
    </xdr:to>
    <xdr:sp macro="" textlink="">
      <xdr:nvSpPr>
        <xdr:cNvPr id="40" name="Frame 733">
          <a:extLst>
            <a:ext uri="{FF2B5EF4-FFF2-40B4-BE49-F238E27FC236}">
              <a16:creationId xmlns:a16="http://schemas.microsoft.com/office/drawing/2014/main" id="{F0AC0449-1BA1-4C55-93B4-08C7D0782FB1}"/>
            </a:ext>
            <a:ext uri="{147F2762-F138-4A5C-976F-8EAC2B608ADB}">
              <a16:predDERef xmlns:a16="http://schemas.microsoft.com/office/drawing/2014/main" pred="{4C99C97A-64E2-4678-8D7C-97AF6DB38FC7}"/>
            </a:ext>
          </a:extLst>
        </xdr:cNvPr>
        <xdr:cNvSpPr/>
      </xdr:nvSpPr>
      <xdr:spPr>
        <a:xfrm>
          <a:off x="0" y="464381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2487</xdr:row>
      <xdr:rowOff>0</xdr:rowOff>
    </xdr:from>
    <xdr:to>
      <xdr:col>0</xdr:col>
      <xdr:colOff>323850</xdr:colOff>
      <xdr:row>2488</xdr:row>
      <xdr:rowOff>127000</xdr:rowOff>
    </xdr:to>
    <xdr:sp macro="" textlink="">
      <xdr:nvSpPr>
        <xdr:cNvPr id="47" name="Frame 733">
          <a:extLst>
            <a:ext uri="{FF2B5EF4-FFF2-40B4-BE49-F238E27FC236}">
              <a16:creationId xmlns:a16="http://schemas.microsoft.com/office/drawing/2014/main" id="{D67F876A-0DA4-487A-B4E2-5A40356A4352}"/>
            </a:ext>
            <a:ext uri="{147F2762-F138-4A5C-976F-8EAC2B608ADB}">
              <a16:predDERef xmlns:a16="http://schemas.microsoft.com/office/drawing/2014/main" pred="{F0AC0449-1BA1-4C55-93B4-08C7D0782FB1}"/>
            </a:ext>
          </a:extLst>
        </xdr:cNvPr>
        <xdr:cNvSpPr/>
      </xdr:nvSpPr>
      <xdr:spPr>
        <a:xfrm>
          <a:off x="0" y="464762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2489</xdr:row>
      <xdr:rowOff>0</xdr:rowOff>
    </xdr:from>
    <xdr:to>
      <xdr:col>0</xdr:col>
      <xdr:colOff>323850</xdr:colOff>
      <xdr:row>2490</xdr:row>
      <xdr:rowOff>127000</xdr:rowOff>
    </xdr:to>
    <xdr:sp macro="" textlink="">
      <xdr:nvSpPr>
        <xdr:cNvPr id="49" name="Frame 733">
          <a:extLst>
            <a:ext uri="{FF2B5EF4-FFF2-40B4-BE49-F238E27FC236}">
              <a16:creationId xmlns:a16="http://schemas.microsoft.com/office/drawing/2014/main" id="{5BE60399-A187-4655-BED9-4CAD2617DC88}"/>
            </a:ext>
            <a:ext uri="{147F2762-F138-4A5C-976F-8EAC2B608ADB}">
              <a16:predDERef xmlns:a16="http://schemas.microsoft.com/office/drawing/2014/main" pred="{D67F876A-0DA4-487A-B4E2-5A40356A4352}"/>
            </a:ext>
          </a:extLst>
        </xdr:cNvPr>
        <xdr:cNvSpPr/>
      </xdr:nvSpPr>
      <xdr:spPr>
        <a:xfrm>
          <a:off x="0" y="465143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2491</xdr:row>
      <xdr:rowOff>0</xdr:rowOff>
    </xdr:from>
    <xdr:to>
      <xdr:col>0</xdr:col>
      <xdr:colOff>323850</xdr:colOff>
      <xdr:row>2492</xdr:row>
      <xdr:rowOff>127000</xdr:rowOff>
    </xdr:to>
    <xdr:sp macro="" textlink="">
      <xdr:nvSpPr>
        <xdr:cNvPr id="50" name="Frame 733">
          <a:extLst>
            <a:ext uri="{FF2B5EF4-FFF2-40B4-BE49-F238E27FC236}">
              <a16:creationId xmlns:a16="http://schemas.microsoft.com/office/drawing/2014/main" id="{949BAE04-2A02-41ED-9851-B4E3DFDDB6E6}"/>
            </a:ext>
            <a:ext uri="{147F2762-F138-4A5C-976F-8EAC2B608ADB}">
              <a16:predDERef xmlns:a16="http://schemas.microsoft.com/office/drawing/2014/main" pred="{5BE60399-A187-4655-BED9-4CAD2617DC88}"/>
            </a:ext>
          </a:extLst>
        </xdr:cNvPr>
        <xdr:cNvSpPr/>
      </xdr:nvSpPr>
      <xdr:spPr>
        <a:xfrm>
          <a:off x="0" y="465524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2506</xdr:row>
      <xdr:rowOff>177800</xdr:rowOff>
    </xdr:from>
    <xdr:to>
      <xdr:col>0</xdr:col>
      <xdr:colOff>330200</xdr:colOff>
      <xdr:row>2508</xdr:row>
      <xdr:rowOff>114300</xdr:rowOff>
    </xdr:to>
    <xdr:sp macro="" textlink="">
      <xdr:nvSpPr>
        <xdr:cNvPr id="874" name="Frame 733">
          <a:extLst>
            <a:ext uri="{FF2B5EF4-FFF2-40B4-BE49-F238E27FC236}">
              <a16:creationId xmlns:a16="http://schemas.microsoft.com/office/drawing/2014/main" id="{99FA012C-DCCC-4AC1-A96A-B4D773643D4E}"/>
            </a:ext>
            <a:ext uri="{147F2762-F138-4A5C-976F-8EAC2B608ADB}">
              <a16:predDERef xmlns:a16="http://schemas.microsoft.com/office/drawing/2014/main" pred="{949BAE04-2A02-41ED-9851-B4E3DFDDB6E6}"/>
            </a:ext>
          </a:extLst>
        </xdr:cNvPr>
        <xdr:cNvSpPr/>
      </xdr:nvSpPr>
      <xdr:spPr>
        <a:xfrm>
          <a:off x="6350" y="4632261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2509</xdr:row>
      <xdr:rowOff>0</xdr:rowOff>
    </xdr:from>
    <xdr:to>
      <xdr:col>0</xdr:col>
      <xdr:colOff>323850</xdr:colOff>
      <xdr:row>2510</xdr:row>
      <xdr:rowOff>127000</xdr:rowOff>
    </xdr:to>
    <xdr:sp macro="" textlink="">
      <xdr:nvSpPr>
        <xdr:cNvPr id="875" name="Frame 733">
          <a:extLst>
            <a:ext uri="{FF2B5EF4-FFF2-40B4-BE49-F238E27FC236}">
              <a16:creationId xmlns:a16="http://schemas.microsoft.com/office/drawing/2014/main" id="{FD7EE0FA-ADC0-4918-B4C1-E7B83E5C19E7}"/>
            </a:ext>
            <a:ext uri="{147F2762-F138-4A5C-976F-8EAC2B608ADB}">
              <a16:predDERef xmlns:a16="http://schemas.microsoft.com/office/drawing/2014/main" pred="{99FA012C-DCCC-4AC1-A96A-B4D773643D4E}"/>
            </a:ext>
          </a:extLst>
        </xdr:cNvPr>
        <xdr:cNvSpPr/>
      </xdr:nvSpPr>
      <xdr:spPr>
        <a:xfrm>
          <a:off x="0" y="463619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2511</xdr:row>
      <xdr:rowOff>0</xdr:rowOff>
    </xdr:from>
    <xdr:to>
      <xdr:col>0</xdr:col>
      <xdr:colOff>323850</xdr:colOff>
      <xdr:row>2512</xdr:row>
      <xdr:rowOff>127000</xdr:rowOff>
    </xdr:to>
    <xdr:sp macro="" textlink="">
      <xdr:nvSpPr>
        <xdr:cNvPr id="876" name="Frame 733">
          <a:extLst>
            <a:ext uri="{FF2B5EF4-FFF2-40B4-BE49-F238E27FC236}">
              <a16:creationId xmlns:a16="http://schemas.microsoft.com/office/drawing/2014/main" id="{CE56B534-1CB9-41AA-A879-08D6D4DF0EF9}"/>
            </a:ext>
            <a:ext uri="{147F2762-F138-4A5C-976F-8EAC2B608ADB}">
              <a16:predDERef xmlns:a16="http://schemas.microsoft.com/office/drawing/2014/main" pred="{FD7EE0FA-ADC0-4918-B4C1-E7B83E5C19E7}"/>
            </a:ext>
          </a:extLst>
        </xdr:cNvPr>
        <xdr:cNvSpPr/>
      </xdr:nvSpPr>
      <xdr:spPr>
        <a:xfrm>
          <a:off x="0" y="464000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2513</xdr:row>
      <xdr:rowOff>0</xdr:rowOff>
    </xdr:from>
    <xdr:to>
      <xdr:col>0</xdr:col>
      <xdr:colOff>323850</xdr:colOff>
      <xdr:row>2514</xdr:row>
      <xdr:rowOff>127000</xdr:rowOff>
    </xdr:to>
    <xdr:sp macro="" textlink="">
      <xdr:nvSpPr>
        <xdr:cNvPr id="877" name="Frame 733">
          <a:extLst>
            <a:ext uri="{FF2B5EF4-FFF2-40B4-BE49-F238E27FC236}">
              <a16:creationId xmlns:a16="http://schemas.microsoft.com/office/drawing/2014/main" id="{87AD0A67-2011-4C3B-853A-88E2C9250755}"/>
            </a:ext>
            <a:ext uri="{147F2762-F138-4A5C-976F-8EAC2B608ADB}">
              <a16:predDERef xmlns:a16="http://schemas.microsoft.com/office/drawing/2014/main" pred="{CE56B534-1CB9-41AA-A879-08D6D4DF0EF9}"/>
            </a:ext>
          </a:extLst>
        </xdr:cNvPr>
        <xdr:cNvSpPr/>
      </xdr:nvSpPr>
      <xdr:spPr>
        <a:xfrm>
          <a:off x="0" y="464381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2515</xdr:row>
      <xdr:rowOff>0</xdr:rowOff>
    </xdr:from>
    <xdr:to>
      <xdr:col>0</xdr:col>
      <xdr:colOff>323850</xdr:colOff>
      <xdr:row>2516</xdr:row>
      <xdr:rowOff>127000</xdr:rowOff>
    </xdr:to>
    <xdr:sp macro="" textlink="">
      <xdr:nvSpPr>
        <xdr:cNvPr id="878" name="Frame 733">
          <a:extLst>
            <a:ext uri="{FF2B5EF4-FFF2-40B4-BE49-F238E27FC236}">
              <a16:creationId xmlns:a16="http://schemas.microsoft.com/office/drawing/2014/main" id="{EA6D8788-E12A-4790-93DE-7A7C2B44F01E}"/>
            </a:ext>
            <a:ext uri="{147F2762-F138-4A5C-976F-8EAC2B608ADB}">
              <a16:predDERef xmlns:a16="http://schemas.microsoft.com/office/drawing/2014/main" pred="{87AD0A67-2011-4C3B-853A-88E2C9250755}"/>
            </a:ext>
          </a:extLst>
        </xdr:cNvPr>
        <xdr:cNvSpPr/>
      </xdr:nvSpPr>
      <xdr:spPr>
        <a:xfrm>
          <a:off x="0" y="464762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2517</xdr:row>
      <xdr:rowOff>0</xdr:rowOff>
    </xdr:from>
    <xdr:to>
      <xdr:col>0</xdr:col>
      <xdr:colOff>323850</xdr:colOff>
      <xdr:row>2518</xdr:row>
      <xdr:rowOff>127000</xdr:rowOff>
    </xdr:to>
    <xdr:sp macro="" textlink="">
      <xdr:nvSpPr>
        <xdr:cNvPr id="879" name="Frame 733">
          <a:extLst>
            <a:ext uri="{FF2B5EF4-FFF2-40B4-BE49-F238E27FC236}">
              <a16:creationId xmlns:a16="http://schemas.microsoft.com/office/drawing/2014/main" id="{EA38FFF3-C0B4-4E03-B3E3-67DD6F9FFAA6}"/>
            </a:ext>
            <a:ext uri="{147F2762-F138-4A5C-976F-8EAC2B608ADB}">
              <a16:predDERef xmlns:a16="http://schemas.microsoft.com/office/drawing/2014/main" pred="{EA6D8788-E12A-4790-93DE-7A7C2B44F01E}"/>
            </a:ext>
          </a:extLst>
        </xdr:cNvPr>
        <xdr:cNvSpPr/>
      </xdr:nvSpPr>
      <xdr:spPr>
        <a:xfrm>
          <a:off x="0" y="465143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2519</xdr:row>
      <xdr:rowOff>0</xdr:rowOff>
    </xdr:from>
    <xdr:to>
      <xdr:col>0</xdr:col>
      <xdr:colOff>323850</xdr:colOff>
      <xdr:row>2520</xdr:row>
      <xdr:rowOff>127000</xdr:rowOff>
    </xdr:to>
    <xdr:sp macro="" textlink="">
      <xdr:nvSpPr>
        <xdr:cNvPr id="880" name="Frame 733">
          <a:extLst>
            <a:ext uri="{FF2B5EF4-FFF2-40B4-BE49-F238E27FC236}">
              <a16:creationId xmlns:a16="http://schemas.microsoft.com/office/drawing/2014/main" id="{5E98F852-1BAA-418E-A98A-086CB3832A72}"/>
            </a:ext>
            <a:ext uri="{147F2762-F138-4A5C-976F-8EAC2B608ADB}">
              <a16:predDERef xmlns:a16="http://schemas.microsoft.com/office/drawing/2014/main" pred="{EA38FFF3-C0B4-4E03-B3E3-67DD6F9FFAA6}"/>
            </a:ext>
          </a:extLst>
        </xdr:cNvPr>
        <xdr:cNvSpPr/>
      </xdr:nvSpPr>
      <xdr:spPr>
        <a:xfrm>
          <a:off x="0" y="465524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330</xdr:row>
      <xdr:rowOff>0</xdr:rowOff>
    </xdr:from>
    <xdr:to>
      <xdr:col>0</xdr:col>
      <xdr:colOff>323850</xdr:colOff>
      <xdr:row>331</xdr:row>
      <xdr:rowOff>120650</xdr:rowOff>
    </xdr:to>
    <xdr:sp macro="" textlink="">
      <xdr:nvSpPr>
        <xdr:cNvPr id="46" name="Frame 94">
          <a:extLst>
            <a:ext uri="{FF2B5EF4-FFF2-40B4-BE49-F238E27FC236}">
              <a16:creationId xmlns:a16="http://schemas.microsoft.com/office/drawing/2014/main" id="{8E1C7417-850E-45E7-981C-92382C644D30}"/>
            </a:ext>
            <a:ext uri="{147F2762-F138-4A5C-976F-8EAC2B608ADB}">
              <a16:predDERef xmlns:a16="http://schemas.microsoft.com/office/drawing/2014/main" pred="{5E98F852-1BAA-418E-A98A-086CB3832A72}"/>
            </a:ext>
          </a:extLst>
        </xdr:cNvPr>
        <xdr:cNvSpPr/>
      </xdr:nvSpPr>
      <xdr:spPr>
        <a:xfrm>
          <a:off x="0" y="593217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2394</xdr:row>
      <xdr:rowOff>0</xdr:rowOff>
    </xdr:from>
    <xdr:to>
      <xdr:col>0</xdr:col>
      <xdr:colOff>323850</xdr:colOff>
      <xdr:row>2395</xdr:row>
      <xdr:rowOff>120650</xdr:rowOff>
    </xdr:to>
    <xdr:sp macro="" textlink="">
      <xdr:nvSpPr>
        <xdr:cNvPr id="48" name="Frame 859">
          <a:extLst>
            <a:ext uri="{FF2B5EF4-FFF2-40B4-BE49-F238E27FC236}">
              <a16:creationId xmlns:a16="http://schemas.microsoft.com/office/drawing/2014/main" id="{3B01F526-8A81-4F2F-A73A-2E02FA1C4640}"/>
            </a:ext>
            <a:ext uri="{147F2762-F138-4A5C-976F-8EAC2B608ADB}">
              <a16:predDERef xmlns:a16="http://schemas.microsoft.com/office/drawing/2014/main" pred="{8E1C7417-850E-45E7-981C-92382C644D30}"/>
            </a:ext>
          </a:extLst>
        </xdr:cNvPr>
        <xdr:cNvSpPr/>
      </xdr:nvSpPr>
      <xdr:spPr>
        <a:xfrm>
          <a:off x="0" y="461181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2396</xdr:row>
      <xdr:rowOff>0</xdr:rowOff>
    </xdr:from>
    <xdr:to>
      <xdr:col>0</xdr:col>
      <xdr:colOff>323850</xdr:colOff>
      <xdr:row>2397</xdr:row>
      <xdr:rowOff>120650</xdr:rowOff>
    </xdr:to>
    <xdr:sp macro="" textlink="">
      <xdr:nvSpPr>
        <xdr:cNvPr id="51" name="Frame 859">
          <a:extLst>
            <a:ext uri="{FF2B5EF4-FFF2-40B4-BE49-F238E27FC236}">
              <a16:creationId xmlns:a16="http://schemas.microsoft.com/office/drawing/2014/main" id="{34AC132F-9970-4DB2-8778-F22331CF6AC2}"/>
            </a:ext>
            <a:ext uri="{147F2762-F138-4A5C-976F-8EAC2B608ADB}">
              <a16:predDERef xmlns:a16="http://schemas.microsoft.com/office/drawing/2014/main" pred="{3B01F526-8A81-4F2F-A73A-2E02FA1C4640}"/>
            </a:ext>
          </a:extLst>
        </xdr:cNvPr>
        <xdr:cNvSpPr/>
      </xdr:nvSpPr>
      <xdr:spPr>
        <a:xfrm>
          <a:off x="0" y="461562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2398</xdr:row>
      <xdr:rowOff>0</xdr:rowOff>
    </xdr:from>
    <xdr:to>
      <xdr:col>0</xdr:col>
      <xdr:colOff>323850</xdr:colOff>
      <xdr:row>2399</xdr:row>
      <xdr:rowOff>120650</xdr:rowOff>
    </xdr:to>
    <xdr:sp macro="" textlink="">
      <xdr:nvSpPr>
        <xdr:cNvPr id="52" name="Frame 859">
          <a:extLst>
            <a:ext uri="{FF2B5EF4-FFF2-40B4-BE49-F238E27FC236}">
              <a16:creationId xmlns:a16="http://schemas.microsoft.com/office/drawing/2014/main" id="{E9039F0B-5AF1-45A0-8190-3418857A107A}"/>
            </a:ext>
            <a:ext uri="{147F2762-F138-4A5C-976F-8EAC2B608ADB}">
              <a16:predDERef xmlns:a16="http://schemas.microsoft.com/office/drawing/2014/main" pred="{34AC132F-9970-4DB2-8778-F22331CF6AC2}"/>
            </a:ext>
          </a:extLst>
        </xdr:cNvPr>
        <xdr:cNvSpPr/>
      </xdr:nvSpPr>
      <xdr:spPr>
        <a:xfrm>
          <a:off x="0" y="461943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2400</xdr:row>
      <xdr:rowOff>0</xdr:rowOff>
    </xdr:from>
    <xdr:to>
      <xdr:col>0</xdr:col>
      <xdr:colOff>323850</xdr:colOff>
      <xdr:row>2401</xdr:row>
      <xdr:rowOff>120650</xdr:rowOff>
    </xdr:to>
    <xdr:sp macro="" textlink="">
      <xdr:nvSpPr>
        <xdr:cNvPr id="53" name="Frame 859">
          <a:extLst>
            <a:ext uri="{FF2B5EF4-FFF2-40B4-BE49-F238E27FC236}">
              <a16:creationId xmlns:a16="http://schemas.microsoft.com/office/drawing/2014/main" id="{A1DC8B49-0742-49EB-B214-30BA0BADADC1}"/>
            </a:ext>
            <a:ext uri="{147F2762-F138-4A5C-976F-8EAC2B608ADB}">
              <a16:predDERef xmlns:a16="http://schemas.microsoft.com/office/drawing/2014/main" pred="{E9039F0B-5AF1-45A0-8190-3418857A107A}"/>
            </a:ext>
          </a:extLst>
        </xdr:cNvPr>
        <xdr:cNvSpPr/>
      </xdr:nvSpPr>
      <xdr:spPr>
        <a:xfrm>
          <a:off x="0" y="462324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934</xdr:row>
      <xdr:rowOff>0</xdr:rowOff>
    </xdr:from>
    <xdr:to>
      <xdr:col>0</xdr:col>
      <xdr:colOff>323850</xdr:colOff>
      <xdr:row>935</xdr:row>
      <xdr:rowOff>120650</xdr:rowOff>
    </xdr:to>
    <xdr:sp macro="" textlink="">
      <xdr:nvSpPr>
        <xdr:cNvPr id="54" name="Frame 306">
          <a:extLst>
            <a:ext uri="{FF2B5EF4-FFF2-40B4-BE49-F238E27FC236}">
              <a16:creationId xmlns:a16="http://schemas.microsoft.com/office/drawing/2014/main" id="{85E5757B-FA71-462E-ACC7-B1216E811517}"/>
            </a:ext>
            <a:ext uri="{147F2762-F138-4A5C-976F-8EAC2B608ADB}">
              <a16:predDERef xmlns:a16="http://schemas.microsoft.com/office/drawing/2014/main" pred="{A1DC8B49-0742-49EB-B214-30BA0BADADC1}"/>
            </a:ext>
          </a:extLst>
        </xdr:cNvPr>
        <xdr:cNvSpPr/>
      </xdr:nvSpPr>
      <xdr:spPr>
        <a:xfrm>
          <a:off x="0" y="1775745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0</xdr:col>
      <xdr:colOff>323850</xdr:colOff>
      <xdr:row>937</xdr:row>
      <xdr:rowOff>120650</xdr:rowOff>
    </xdr:to>
    <xdr:sp macro="" textlink="">
      <xdr:nvSpPr>
        <xdr:cNvPr id="57" name="Frame 306">
          <a:extLst>
            <a:ext uri="{FF2B5EF4-FFF2-40B4-BE49-F238E27FC236}">
              <a16:creationId xmlns:a16="http://schemas.microsoft.com/office/drawing/2014/main" id="{15AA9664-978B-4E54-87A9-CB013CC26D02}"/>
            </a:ext>
            <a:ext uri="{147F2762-F138-4A5C-976F-8EAC2B608ADB}">
              <a16:predDERef xmlns:a16="http://schemas.microsoft.com/office/drawing/2014/main" pred="{85E5757B-FA71-462E-ACC7-B1216E811517}"/>
            </a:ext>
          </a:extLst>
        </xdr:cNvPr>
        <xdr:cNvSpPr/>
      </xdr:nvSpPr>
      <xdr:spPr>
        <a:xfrm>
          <a:off x="0" y="1779555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2477</xdr:row>
      <xdr:rowOff>0</xdr:rowOff>
    </xdr:from>
    <xdr:to>
      <xdr:col>0</xdr:col>
      <xdr:colOff>323850</xdr:colOff>
      <xdr:row>2478</xdr:row>
      <xdr:rowOff>127000</xdr:rowOff>
    </xdr:to>
    <xdr:sp macro="" textlink="">
      <xdr:nvSpPr>
        <xdr:cNvPr id="861" name="Frame 860">
          <a:extLst>
            <a:ext uri="{FF2B5EF4-FFF2-40B4-BE49-F238E27FC236}">
              <a16:creationId xmlns:a16="http://schemas.microsoft.com/office/drawing/2014/main" id="{2324E794-8EAD-495E-928C-80DEFE10F5F4}"/>
            </a:ext>
            <a:ext uri="{147F2762-F138-4A5C-976F-8EAC2B608ADB}">
              <a16:predDERef xmlns:a16="http://schemas.microsoft.com/office/drawing/2014/main" pred="{15AA9664-978B-4E54-87A9-CB013CC26D02}"/>
            </a:ext>
          </a:extLst>
        </xdr:cNvPr>
        <xdr:cNvSpPr/>
      </xdr:nvSpPr>
      <xdr:spPr>
        <a:xfrm>
          <a:off x="0" y="4836604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2479</xdr:row>
      <xdr:rowOff>0</xdr:rowOff>
    </xdr:from>
    <xdr:to>
      <xdr:col>0</xdr:col>
      <xdr:colOff>323850</xdr:colOff>
      <xdr:row>2480</xdr:row>
      <xdr:rowOff>127000</xdr:rowOff>
    </xdr:to>
    <xdr:sp macro="" textlink="">
      <xdr:nvSpPr>
        <xdr:cNvPr id="866" name="Frame 865">
          <a:extLst>
            <a:ext uri="{FF2B5EF4-FFF2-40B4-BE49-F238E27FC236}">
              <a16:creationId xmlns:a16="http://schemas.microsoft.com/office/drawing/2014/main" id="{37BF0244-D4FB-4D09-A279-FBD06EDF3175}"/>
            </a:ext>
            <a:ext uri="{147F2762-F138-4A5C-976F-8EAC2B608ADB}">
              <a16:predDERef xmlns:a16="http://schemas.microsoft.com/office/drawing/2014/main" pred="{2324E794-8EAD-495E-928C-80DEFE10F5F4}"/>
            </a:ext>
          </a:extLst>
        </xdr:cNvPr>
        <xdr:cNvSpPr/>
      </xdr:nvSpPr>
      <xdr:spPr>
        <a:xfrm>
          <a:off x="0" y="4840414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2481</xdr:row>
      <xdr:rowOff>0</xdr:rowOff>
    </xdr:from>
    <xdr:to>
      <xdr:col>0</xdr:col>
      <xdr:colOff>323850</xdr:colOff>
      <xdr:row>2482</xdr:row>
      <xdr:rowOff>127000</xdr:rowOff>
    </xdr:to>
    <xdr:sp macro="" textlink="">
      <xdr:nvSpPr>
        <xdr:cNvPr id="867" name="Frame 866">
          <a:extLst>
            <a:ext uri="{FF2B5EF4-FFF2-40B4-BE49-F238E27FC236}">
              <a16:creationId xmlns:a16="http://schemas.microsoft.com/office/drawing/2014/main" id="{21B8F1DE-3E38-4F75-A3DD-0A01AF4E94E9}"/>
            </a:ext>
            <a:ext uri="{147F2762-F138-4A5C-976F-8EAC2B608ADB}">
              <a16:predDERef xmlns:a16="http://schemas.microsoft.com/office/drawing/2014/main" pred="{37BF0244-D4FB-4D09-A279-FBD06EDF3175}"/>
            </a:ext>
          </a:extLst>
        </xdr:cNvPr>
        <xdr:cNvSpPr/>
      </xdr:nvSpPr>
      <xdr:spPr>
        <a:xfrm>
          <a:off x="0" y="4844224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2483</xdr:row>
      <xdr:rowOff>0</xdr:rowOff>
    </xdr:from>
    <xdr:to>
      <xdr:col>0</xdr:col>
      <xdr:colOff>323850</xdr:colOff>
      <xdr:row>2484</xdr:row>
      <xdr:rowOff>127000</xdr:rowOff>
    </xdr:to>
    <xdr:sp macro="" textlink="">
      <xdr:nvSpPr>
        <xdr:cNvPr id="868" name="Frame 867">
          <a:extLst>
            <a:ext uri="{FF2B5EF4-FFF2-40B4-BE49-F238E27FC236}">
              <a16:creationId xmlns:a16="http://schemas.microsoft.com/office/drawing/2014/main" id="{BB521D60-F8EB-4234-8746-40AF35487CB7}"/>
            </a:ext>
            <a:ext uri="{147F2762-F138-4A5C-976F-8EAC2B608ADB}">
              <a16:predDERef xmlns:a16="http://schemas.microsoft.com/office/drawing/2014/main" pred="{21B8F1DE-3E38-4F75-A3DD-0A01AF4E94E9}"/>
            </a:ext>
          </a:extLst>
        </xdr:cNvPr>
        <xdr:cNvSpPr/>
      </xdr:nvSpPr>
      <xdr:spPr>
        <a:xfrm>
          <a:off x="0" y="4848034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2485</xdr:row>
      <xdr:rowOff>0</xdr:rowOff>
    </xdr:from>
    <xdr:to>
      <xdr:col>0</xdr:col>
      <xdr:colOff>323850</xdr:colOff>
      <xdr:row>2486</xdr:row>
      <xdr:rowOff>127000</xdr:rowOff>
    </xdr:to>
    <xdr:sp macro="" textlink="">
      <xdr:nvSpPr>
        <xdr:cNvPr id="869" name="Frame 868">
          <a:extLst>
            <a:ext uri="{FF2B5EF4-FFF2-40B4-BE49-F238E27FC236}">
              <a16:creationId xmlns:a16="http://schemas.microsoft.com/office/drawing/2014/main" id="{FA2E3B7D-BFB8-4032-A29C-20C01EF09B26}"/>
            </a:ext>
            <a:ext uri="{147F2762-F138-4A5C-976F-8EAC2B608ADB}">
              <a16:predDERef xmlns:a16="http://schemas.microsoft.com/office/drawing/2014/main" pred="{BB521D60-F8EB-4234-8746-40AF35487CB7}"/>
            </a:ext>
          </a:extLst>
        </xdr:cNvPr>
        <xdr:cNvSpPr/>
      </xdr:nvSpPr>
      <xdr:spPr>
        <a:xfrm>
          <a:off x="0" y="4851844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0C7B9591-13DF-4D78-968B-2D64A17C89D6}"/>
            </a:ext>
          </a:extLst>
        </xdr:cNvPr>
        <xdr:cNvSpPr/>
      </xdr:nvSpPr>
      <xdr:spPr>
        <a:xfrm>
          <a:off x="4349750" y="2226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3" name="Frame 2">
          <a:extLst>
            <a:ext uri="{FF2B5EF4-FFF2-40B4-BE49-F238E27FC236}">
              <a16:creationId xmlns:a16="http://schemas.microsoft.com/office/drawing/2014/main" id="{398B7E8F-2084-4BD2-BBF9-3671546A135A}"/>
            </a:ext>
          </a:extLst>
        </xdr:cNvPr>
        <xdr:cNvSpPr/>
      </xdr:nvSpPr>
      <xdr:spPr>
        <a:xfrm>
          <a:off x="4349750" y="2263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E9A24FBF-C9C1-49F4-A4F4-D09AE1F2F505}"/>
            </a:ext>
          </a:extLst>
        </xdr:cNvPr>
        <xdr:cNvSpPr/>
      </xdr:nvSpPr>
      <xdr:spPr>
        <a:xfrm>
          <a:off x="4349750" y="2300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3AFA121F-77E9-442B-AE70-6FB987072766}"/>
            </a:ext>
          </a:extLst>
        </xdr:cNvPr>
        <xdr:cNvSpPr/>
      </xdr:nvSpPr>
      <xdr:spPr>
        <a:xfrm>
          <a:off x="4349750" y="23374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9E6B57E6-A96E-4FDB-879A-C206EFB6ADF5}"/>
            </a:ext>
          </a:extLst>
        </xdr:cNvPr>
        <xdr:cNvSpPr/>
      </xdr:nvSpPr>
      <xdr:spPr>
        <a:xfrm>
          <a:off x="4349750" y="23742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6423B482-CCF4-4625-8264-DC543979E908}"/>
            </a:ext>
          </a:extLst>
        </xdr:cNvPr>
        <xdr:cNvSpPr/>
      </xdr:nvSpPr>
      <xdr:spPr>
        <a:xfrm>
          <a:off x="4349750" y="24110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18</xdr:row>
      <xdr:rowOff>120650</xdr:rowOff>
    </xdr:to>
    <xdr:sp macro="" textlink="">
      <xdr:nvSpPr>
        <xdr:cNvPr id="8" name="Frame 7">
          <a:extLst>
            <a:ext uri="{FF2B5EF4-FFF2-40B4-BE49-F238E27FC236}">
              <a16:creationId xmlns:a16="http://schemas.microsoft.com/office/drawing/2014/main" id="{053586CB-91EB-4E0D-BBC5-2A32AE241A38}"/>
            </a:ext>
          </a:extLst>
        </xdr:cNvPr>
        <xdr:cNvSpPr/>
      </xdr:nvSpPr>
      <xdr:spPr>
        <a:xfrm>
          <a:off x="4349750" y="24479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323850</xdr:colOff>
      <xdr:row>20</xdr:row>
      <xdr:rowOff>120650</xdr:rowOff>
    </xdr:to>
    <xdr:sp macro="" textlink="">
      <xdr:nvSpPr>
        <xdr:cNvPr id="9" name="Frame 8">
          <a:extLst>
            <a:ext uri="{FF2B5EF4-FFF2-40B4-BE49-F238E27FC236}">
              <a16:creationId xmlns:a16="http://schemas.microsoft.com/office/drawing/2014/main" id="{78F86A77-437C-4406-93AD-335D317AC1E1}"/>
            </a:ext>
          </a:extLst>
        </xdr:cNvPr>
        <xdr:cNvSpPr/>
      </xdr:nvSpPr>
      <xdr:spPr>
        <a:xfrm>
          <a:off x="4349750" y="24847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323850</xdr:colOff>
      <xdr:row>22</xdr:row>
      <xdr:rowOff>120650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D165508A-4821-453E-940F-986080044F06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323850</xdr:colOff>
      <xdr:row>24</xdr:row>
      <xdr:rowOff>120650</xdr:rowOff>
    </xdr:to>
    <xdr:sp macro="" textlink="">
      <xdr:nvSpPr>
        <xdr:cNvPr id="16" name="Frame 15">
          <a:extLst>
            <a:ext uri="{FF2B5EF4-FFF2-40B4-BE49-F238E27FC236}">
              <a16:creationId xmlns:a16="http://schemas.microsoft.com/office/drawing/2014/main" id="{B2B15745-3DE0-407A-9415-F79DEB4151D0}"/>
            </a:ext>
          </a:extLst>
        </xdr:cNvPr>
        <xdr:cNvSpPr/>
      </xdr:nvSpPr>
      <xdr:spPr>
        <a:xfrm>
          <a:off x="0" y="440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323850</xdr:colOff>
      <xdr:row>26</xdr:row>
      <xdr:rowOff>120650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6E78E1C1-31E2-4F89-A754-61B2BBA3B94E}"/>
            </a:ext>
          </a:extLst>
        </xdr:cNvPr>
        <xdr:cNvSpPr/>
      </xdr:nvSpPr>
      <xdr:spPr>
        <a:xfrm>
          <a:off x="0" y="476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323850</xdr:colOff>
      <xdr:row>45</xdr:row>
      <xdr:rowOff>120650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218C1BE2-7E8E-47A6-A108-D882D92C2574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323850</xdr:colOff>
      <xdr:row>47</xdr:row>
      <xdr:rowOff>120650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A059A39B-8538-487A-B51B-392916DC136D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323850</xdr:colOff>
      <xdr:row>49</xdr:row>
      <xdr:rowOff>120650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B130727E-71FE-4B46-917F-95BC94D551C7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323850</xdr:colOff>
      <xdr:row>51</xdr:row>
      <xdr:rowOff>120650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F54B25DE-6A83-4376-9EE3-4819B5778A2F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323850</xdr:colOff>
      <xdr:row>69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8B8124FC-C860-4DC5-A3DA-5EC5E961A7D4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323850</xdr:colOff>
      <xdr:row>71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5F26D72F-0FD4-42D6-ABC2-26A64DD1D78A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323850</xdr:colOff>
      <xdr:row>73</xdr:row>
      <xdr:rowOff>120650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D52C3B9F-C56C-4CB1-97EB-ABA319532C04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323850</xdr:colOff>
      <xdr:row>75</xdr:row>
      <xdr:rowOff>120650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E7B924EE-FF2A-4176-9F81-CB542D122B18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323850</xdr:colOff>
      <xdr:row>77</xdr:row>
      <xdr:rowOff>120650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6D1E59D2-C766-4D52-BACD-7C26FDFBEB6D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323850</xdr:colOff>
      <xdr:row>79</xdr:row>
      <xdr:rowOff>120650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EFAB9B0E-2F7C-4004-889D-F212935E111E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323850</xdr:colOff>
      <xdr:row>81</xdr:row>
      <xdr:rowOff>120650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6D91A301-4638-4113-98F5-FE83C8A03ECE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323850</xdr:colOff>
      <xdr:row>83</xdr:row>
      <xdr:rowOff>120650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5F9C2A1B-F6FA-4068-9CAE-86A34934EA31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323850</xdr:colOff>
      <xdr:row>85</xdr:row>
      <xdr:rowOff>120650</xdr:rowOff>
    </xdr:to>
    <xdr:sp macro="" textlink="">
      <xdr:nvSpPr>
        <xdr:cNvPr id="40" name="Frame 39">
          <a:extLst>
            <a:ext uri="{FF2B5EF4-FFF2-40B4-BE49-F238E27FC236}">
              <a16:creationId xmlns:a16="http://schemas.microsoft.com/office/drawing/2014/main" id="{02729231-799A-4719-9860-0F12CD03E01F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323850</xdr:colOff>
      <xdr:row>87</xdr:row>
      <xdr:rowOff>120650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0DBEA3B6-C9F2-4AC6-AB57-3A6787E4C7AC}"/>
            </a:ext>
          </a:extLst>
        </xdr:cNvPr>
        <xdr:cNvSpPr/>
      </xdr:nvSpPr>
      <xdr:spPr>
        <a:xfrm>
          <a:off x="0" y="440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101</xdr:row>
      <xdr:rowOff>177800</xdr:rowOff>
    </xdr:from>
    <xdr:to>
      <xdr:col>0</xdr:col>
      <xdr:colOff>330200</xdr:colOff>
      <xdr:row>103</xdr:row>
      <xdr:rowOff>114300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188CBFAA-B7E7-4976-8D92-46E9821E6544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323850</xdr:colOff>
      <xdr:row>105</xdr:row>
      <xdr:rowOff>120650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03548C1A-72E8-4BCC-AB6D-A2E32B9D8822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323850</xdr:colOff>
      <xdr:row>107</xdr:row>
      <xdr:rowOff>120650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7B411C42-C975-4784-9CE5-3C6485233A53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323850</xdr:colOff>
      <xdr:row>109</xdr:row>
      <xdr:rowOff>120650</xdr:rowOff>
    </xdr:to>
    <xdr:sp macro="" textlink="">
      <xdr:nvSpPr>
        <xdr:cNvPr id="46" name="Frame 45">
          <a:extLst>
            <a:ext uri="{FF2B5EF4-FFF2-40B4-BE49-F238E27FC236}">
              <a16:creationId xmlns:a16="http://schemas.microsoft.com/office/drawing/2014/main" id="{D244025A-B59A-49C2-BAF5-F590819927BD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323850</xdr:colOff>
      <xdr:row>111</xdr:row>
      <xdr:rowOff>120650</xdr:rowOff>
    </xdr:to>
    <xdr:sp macro="" textlink="">
      <xdr:nvSpPr>
        <xdr:cNvPr id="47" name="Frame 46">
          <a:extLst>
            <a:ext uri="{FF2B5EF4-FFF2-40B4-BE49-F238E27FC236}">
              <a16:creationId xmlns:a16="http://schemas.microsoft.com/office/drawing/2014/main" id="{328F6D57-6C7E-4FB0-89D1-049776CA8E79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323850</xdr:colOff>
      <xdr:row>113</xdr:row>
      <xdr:rowOff>120650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58B327D8-8B66-4928-ADD7-D0B841406242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323850</xdr:colOff>
      <xdr:row>115</xdr:row>
      <xdr:rowOff>120650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2776FBEE-C572-4EEE-9CC5-C0DB55AB6319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323850</xdr:colOff>
      <xdr:row>117</xdr:row>
      <xdr:rowOff>120650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5453C89A-D768-4EC2-9578-C7CF1F79477D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51" name="Frame 50">
          <a:extLst>
            <a:ext uri="{FF2B5EF4-FFF2-40B4-BE49-F238E27FC236}">
              <a16:creationId xmlns:a16="http://schemas.microsoft.com/office/drawing/2014/main" id="{7DA23D1F-A3AE-4D84-8A0C-51AD3D9CE326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323850</xdr:colOff>
      <xdr:row>121</xdr:row>
      <xdr:rowOff>120650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A6A109E1-6B73-41E7-9357-BE70CC682E4A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323850</xdr:colOff>
      <xdr:row>123</xdr:row>
      <xdr:rowOff>120650</xdr:rowOff>
    </xdr:to>
    <xdr:sp macro="" textlink="">
      <xdr:nvSpPr>
        <xdr:cNvPr id="53" name="Frame 52">
          <a:extLst>
            <a:ext uri="{FF2B5EF4-FFF2-40B4-BE49-F238E27FC236}">
              <a16:creationId xmlns:a16="http://schemas.microsoft.com/office/drawing/2014/main" id="{6DFD811B-DAAE-4B3B-8D5F-7439DE5C9305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323850</xdr:colOff>
      <xdr:row>125</xdr:row>
      <xdr:rowOff>120650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E9703B7C-DA80-4729-B75A-E08DB842DB8E}"/>
            </a:ext>
          </a:extLst>
        </xdr:cNvPr>
        <xdr:cNvSpPr/>
      </xdr:nvSpPr>
      <xdr:spPr>
        <a:xfrm>
          <a:off x="0" y="2263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323850</xdr:colOff>
      <xdr:row>127</xdr:row>
      <xdr:rowOff>120650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DA398F46-C387-414C-8181-32EA99408728}"/>
            </a:ext>
          </a:extLst>
        </xdr:cNvPr>
        <xdr:cNvSpPr/>
      </xdr:nvSpPr>
      <xdr:spPr>
        <a:xfrm>
          <a:off x="0" y="2300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323850</xdr:colOff>
      <xdr:row>129</xdr:row>
      <xdr:rowOff>120650</xdr:rowOff>
    </xdr:to>
    <xdr:sp macro="" textlink="">
      <xdr:nvSpPr>
        <xdr:cNvPr id="57" name="Frame 56">
          <a:extLst>
            <a:ext uri="{FF2B5EF4-FFF2-40B4-BE49-F238E27FC236}">
              <a16:creationId xmlns:a16="http://schemas.microsoft.com/office/drawing/2014/main" id="{35F225C8-5BF9-4342-9C89-CB124A38C856}"/>
            </a:ext>
          </a:extLst>
        </xdr:cNvPr>
        <xdr:cNvSpPr/>
      </xdr:nvSpPr>
      <xdr:spPr>
        <a:xfrm>
          <a:off x="0" y="23374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323850</xdr:colOff>
      <xdr:row>131</xdr:row>
      <xdr:rowOff>120650</xdr:rowOff>
    </xdr:to>
    <xdr:sp macro="" textlink="">
      <xdr:nvSpPr>
        <xdr:cNvPr id="58" name="Frame 57">
          <a:extLst>
            <a:ext uri="{FF2B5EF4-FFF2-40B4-BE49-F238E27FC236}">
              <a16:creationId xmlns:a16="http://schemas.microsoft.com/office/drawing/2014/main" id="{92288092-AA7A-48E2-859A-5E7BAE168ED6}"/>
            </a:ext>
          </a:extLst>
        </xdr:cNvPr>
        <xdr:cNvSpPr/>
      </xdr:nvSpPr>
      <xdr:spPr>
        <a:xfrm>
          <a:off x="0" y="23742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323850</xdr:colOff>
      <xdr:row>147</xdr:row>
      <xdr:rowOff>120650</xdr:rowOff>
    </xdr:to>
    <xdr:sp macro="" textlink="">
      <xdr:nvSpPr>
        <xdr:cNvPr id="59" name="Frame 58">
          <a:extLst>
            <a:ext uri="{FF2B5EF4-FFF2-40B4-BE49-F238E27FC236}">
              <a16:creationId xmlns:a16="http://schemas.microsoft.com/office/drawing/2014/main" id="{B4DA71E7-44AC-4D7C-B2EE-B9A6515C5A8E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323850</xdr:colOff>
      <xdr:row>149</xdr:row>
      <xdr:rowOff>120650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9338B238-54C0-4F3A-86F8-F5C9E6B80F69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323850</xdr:colOff>
      <xdr:row>151</xdr:row>
      <xdr:rowOff>120650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89229D88-361A-4E61-8087-B03874E86A42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323850</xdr:colOff>
      <xdr:row>153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FF3ED6EE-F1A9-43D5-AC12-620BE4427364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323850</xdr:colOff>
      <xdr:row>155</xdr:row>
      <xdr:rowOff>120650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CD511ACD-BCE6-40C0-BB26-4343BE99DCAB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323850</xdr:colOff>
      <xdr:row>157</xdr:row>
      <xdr:rowOff>120650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D6066850-193D-47AF-B21C-59D47FE478C1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323850</xdr:colOff>
      <xdr:row>159</xdr:row>
      <xdr:rowOff>120650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63867E56-E801-4B4D-95D1-3450A7DB9142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323850</xdr:colOff>
      <xdr:row>161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D5895705-8C62-499B-A234-A87D9B1C4143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323850</xdr:colOff>
      <xdr:row>163</xdr:row>
      <xdr:rowOff>120650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070A9316-FF27-484D-B0C3-AD63211DA249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323850</xdr:colOff>
      <xdr:row>183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92C5B595-F0DA-4578-9FD7-C1CF6FD90114}"/>
            </a:ext>
          </a:extLst>
        </xdr:cNvPr>
        <xdr:cNvSpPr/>
      </xdr:nvSpPr>
      <xdr:spPr>
        <a:xfrm>
          <a:off x="0" y="2669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323850</xdr:colOff>
      <xdr:row>185</xdr:row>
      <xdr:rowOff>120650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C98478DD-D18E-4A30-85E1-26A682066DD7}"/>
            </a:ext>
          </a:extLst>
        </xdr:cNvPr>
        <xdr:cNvSpPr/>
      </xdr:nvSpPr>
      <xdr:spPr>
        <a:xfrm>
          <a:off x="0" y="27063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323850</xdr:colOff>
      <xdr:row>187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F0200509-6045-462E-98EA-99D2D9FFF567}"/>
            </a:ext>
          </a:extLst>
        </xdr:cNvPr>
        <xdr:cNvSpPr/>
      </xdr:nvSpPr>
      <xdr:spPr>
        <a:xfrm>
          <a:off x="0" y="27432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323850</xdr:colOff>
      <xdr:row>189</xdr:row>
      <xdr:rowOff>120650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81F7FEEA-3F86-4EC4-A794-DE926F0F2019}"/>
            </a:ext>
          </a:extLst>
        </xdr:cNvPr>
        <xdr:cNvSpPr/>
      </xdr:nvSpPr>
      <xdr:spPr>
        <a:xfrm>
          <a:off x="0" y="27800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323850</xdr:colOff>
      <xdr:row>191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2759D222-5FF3-4C35-A1F2-4D07A3F9ADB2}"/>
            </a:ext>
          </a:extLst>
        </xdr:cNvPr>
        <xdr:cNvSpPr/>
      </xdr:nvSpPr>
      <xdr:spPr>
        <a:xfrm>
          <a:off x="0" y="28168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323850</xdr:colOff>
      <xdr:row>193</xdr:row>
      <xdr:rowOff>120650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603985F3-D959-4505-BFD8-87B0ED3DA67F}"/>
            </a:ext>
          </a:extLst>
        </xdr:cNvPr>
        <xdr:cNvSpPr/>
      </xdr:nvSpPr>
      <xdr:spPr>
        <a:xfrm>
          <a:off x="0" y="2853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323850</xdr:colOff>
      <xdr:row>195</xdr:row>
      <xdr:rowOff>120650</xdr:rowOff>
    </xdr:to>
    <xdr:sp macro="" textlink="">
      <xdr:nvSpPr>
        <xdr:cNvPr id="76" name="Frame 75">
          <a:extLst>
            <a:ext uri="{FF2B5EF4-FFF2-40B4-BE49-F238E27FC236}">
              <a16:creationId xmlns:a16="http://schemas.microsoft.com/office/drawing/2014/main" id="{C3899D17-45A1-4F87-BC2E-0BE611581484}"/>
            </a:ext>
          </a:extLst>
        </xdr:cNvPr>
        <xdr:cNvSpPr/>
      </xdr:nvSpPr>
      <xdr:spPr>
        <a:xfrm>
          <a:off x="0" y="2890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323850</xdr:colOff>
      <xdr:row>197</xdr:row>
      <xdr:rowOff>120650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60768788-5993-4DB5-953E-772D9199C5CB}"/>
            </a:ext>
          </a:extLst>
        </xdr:cNvPr>
        <xdr:cNvSpPr/>
      </xdr:nvSpPr>
      <xdr:spPr>
        <a:xfrm>
          <a:off x="0" y="2927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323850</xdr:colOff>
      <xdr:row>199</xdr:row>
      <xdr:rowOff>120650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9B5FCA88-9E5D-4C8A-92E8-0E73219A4AEC}"/>
            </a:ext>
          </a:extLst>
        </xdr:cNvPr>
        <xdr:cNvSpPr/>
      </xdr:nvSpPr>
      <xdr:spPr>
        <a:xfrm>
          <a:off x="0" y="35909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323850</xdr:colOff>
      <xdr:row>201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27786BD4-2B78-4CA8-A84B-25A3270FFB62}"/>
            </a:ext>
          </a:extLst>
        </xdr:cNvPr>
        <xdr:cNvSpPr/>
      </xdr:nvSpPr>
      <xdr:spPr>
        <a:xfrm>
          <a:off x="0" y="36277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323850</xdr:colOff>
      <xdr:row>203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D681A268-9C03-4EAB-BDF8-5F4EBC1FD773}"/>
            </a:ext>
          </a:extLst>
        </xdr:cNvPr>
        <xdr:cNvSpPr/>
      </xdr:nvSpPr>
      <xdr:spPr>
        <a:xfrm>
          <a:off x="0" y="3664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323850</xdr:colOff>
      <xdr:row>205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0C7573B0-2132-41B8-9CD3-C0D53D30959D}"/>
            </a:ext>
          </a:extLst>
        </xdr:cNvPr>
        <xdr:cNvSpPr/>
      </xdr:nvSpPr>
      <xdr:spPr>
        <a:xfrm>
          <a:off x="0" y="3701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0</xdr:col>
      <xdr:colOff>323850</xdr:colOff>
      <xdr:row>220</xdr:row>
      <xdr:rowOff>120650</xdr:rowOff>
    </xdr:to>
    <xdr:sp macro="" textlink="">
      <xdr:nvSpPr>
        <xdr:cNvPr id="84" name="Frame 83">
          <a:extLst>
            <a:ext uri="{FF2B5EF4-FFF2-40B4-BE49-F238E27FC236}">
              <a16:creationId xmlns:a16="http://schemas.microsoft.com/office/drawing/2014/main" id="{C2C1B0E1-B264-4546-BD79-310A17BA6695}"/>
            </a:ext>
          </a:extLst>
        </xdr:cNvPr>
        <xdr:cNvSpPr/>
      </xdr:nvSpPr>
      <xdr:spPr>
        <a:xfrm>
          <a:off x="0" y="32962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323850</xdr:colOff>
      <xdr:row>222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B964DDDE-0F30-4377-AA2E-B53CC8B58A42}"/>
            </a:ext>
          </a:extLst>
        </xdr:cNvPr>
        <xdr:cNvSpPr/>
      </xdr:nvSpPr>
      <xdr:spPr>
        <a:xfrm>
          <a:off x="0" y="33331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323850</xdr:colOff>
      <xdr:row>224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46D80B4C-B31F-4B36-85AE-822D57FD645B}"/>
            </a:ext>
          </a:extLst>
        </xdr:cNvPr>
        <xdr:cNvSpPr/>
      </xdr:nvSpPr>
      <xdr:spPr>
        <a:xfrm>
          <a:off x="0" y="33699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0</xdr:col>
      <xdr:colOff>323850</xdr:colOff>
      <xdr:row>226</xdr:row>
      <xdr:rowOff>120650</xdr:rowOff>
    </xdr:to>
    <xdr:sp macro="" textlink="">
      <xdr:nvSpPr>
        <xdr:cNvPr id="87" name="Frame 86">
          <a:extLst>
            <a:ext uri="{FF2B5EF4-FFF2-40B4-BE49-F238E27FC236}">
              <a16:creationId xmlns:a16="http://schemas.microsoft.com/office/drawing/2014/main" id="{8A1BE1F1-CA2E-4B53-B999-D78D70B5A554}"/>
            </a:ext>
          </a:extLst>
        </xdr:cNvPr>
        <xdr:cNvSpPr/>
      </xdr:nvSpPr>
      <xdr:spPr>
        <a:xfrm>
          <a:off x="0" y="34067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0</xdr:col>
      <xdr:colOff>323850</xdr:colOff>
      <xdr:row>228</xdr:row>
      <xdr:rowOff>120650</xdr:rowOff>
    </xdr:to>
    <xdr:sp macro="" textlink="">
      <xdr:nvSpPr>
        <xdr:cNvPr id="88" name="Frame 87">
          <a:extLst>
            <a:ext uri="{FF2B5EF4-FFF2-40B4-BE49-F238E27FC236}">
              <a16:creationId xmlns:a16="http://schemas.microsoft.com/office/drawing/2014/main" id="{C64FAC31-961D-47EB-90E7-6528DF6201E8}"/>
            </a:ext>
          </a:extLst>
        </xdr:cNvPr>
        <xdr:cNvSpPr/>
      </xdr:nvSpPr>
      <xdr:spPr>
        <a:xfrm>
          <a:off x="0" y="3443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229</xdr:row>
      <xdr:rowOff>0</xdr:rowOff>
    </xdr:from>
    <xdr:to>
      <xdr:col>0</xdr:col>
      <xdr:colOff>323850</xdr:colOff>
      <xdr:row>230</xdr:row>
      <xdr:rowOff>120650</xdr:rowOff>
    </xdr:to>
    <xdr:sp macro="" textlink="">
      <xdr:nvSpPr>
        <xdr:cNvPr id="89" name="Frame 88">
          <a:extLst>
            <a:ext uri="{FF2B5EF4-FFF2-40B4-BE49-F238E27FC236}">
              <a16:creationId xmlns:a16="http://schemas.microsoft.com/office/drawing/2014/main" id="{1A4E8BEC-2048-40F4-AD47-B40F911BF4F7}"/>
            </a:ext>
          </a:extLst>
        </xdr:cNvPr>
        <xdr:cNvSpPr/>
      </xdr:nvSpPr>
      <xdr:spPr>
        <a:xfrm>
          <a:off x="0" y="34804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323850</xdr:colOff>
      <xdr:row>232</xdr:row>
      <xdr:rowOff>120650</xdr:rowOff>
    </xdr:to>
    <xdr:sp macro="" textlink="">
      <xdr:nvSpPr>
        <xdr:cNvPr id="90" name="Frame 89">
          <a:extLst>
            <a:ext uri="{FF2B5EF4-FFF2-40B4-BE49-F238E27FC236}">
              <a16:creationId xmlns:a16="http://schemas.microsoft.com/office/drawing/2014/main" id="{88B795E3-D870-4E39-9391-DD9C452C9FC2}"/>
            </a:ext>
          </a:extLst>
        </xdr:cNvPr>
        <xdr:cNvSpPr/>
      </xdr:nvSpPr>
      <xdr:spPr>
        <a:xfrm>
          <a:off x="0" y="35172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323850</xdr:colOff>
      <xdr:row>234</xdr:row>
      <xdr:rowOff>120650</xdr:rowOff>
    </xdr:to>
    <xdr:sp macro="" textlink="">
      <xdr:nvSpPr>
        <xdr:cNvPr id="91" name="Frame 90">
          <a:extLst>
            <a:ext uri="{FF2B5EF4-FFF2-40B4-BE49-F238E27FC236}">
              <a16:creationId xmlns:a16="http://schemas.microsoft.com/office/drawing/2014/main" id="{FC28CC65-27F5-46D1-BF24-8F038B9F1202}"/>
            </a:ext>
          </a:extLst>
        </xdr:cNvPr>
        <xdr:cNvSpPr/>
      </xdr:nvSpPr>
      <xdr:spPr>
        <a:xfrm>
          <a:off x="0" y="35540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0</xdr:col>
      <xdr:colOff>323850</xdr:colOff>
      <xdr:row>249</xdr:row>
      <xdr:rowOff>120650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3B6E191A-FDEE-414D-ABC2-3CEC4E7D57A0}"/>
            </a:ext>
          </a:extLst>
        </xdr:cNvPr>
        <xdr:cNvSpPr/>
      </xdr:nvSpPr>
      <xdr:spPr>
        <a:xfrm>
          <a:off x="0" y="3996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0</xdr:col>
      <xdr:colOff>323850</xdr:colOff>
      <xdr:row>251</xdr:row>
      <xdr:rowOff>120650</xdr:rowOff>
    </xdr:to>
    <xdr:sp macro="" textlink="">
      <xdr:nvSpPr>
        <xdr:cNvPr id="97" name="Frame 96">
          <a:extLst>
            <a:ext uri="{FF2B5EF4-FFF2-40B4-BE49-F238E27FC236}">
              <a16:creationId xmlns:a16="http://schemas.microsoft.com/office/drawing/2014/main" id="{2F9994A7-C3F2-49A4-930E-0791642769E2}"/>
            </a:ext>
          </a:extLst>
        </xdr:cNvPr>
        <xdr:cNvSpPr/>
      </xdr:nvSpPr>
      <xdr:spPr>
        <a:xfrm>
          <a:off x="0" y="4033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0</xdr:col>
      <xdr:colOff>323850</xdr:colOff>
      <xdr:row>253</xdr:row>
      <xdr:rowOff>120650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A9BFA0AC-4A52-47C7-94CE-489B770C2AE6}"/>
            </a:ext>
          </a:extLst>
        </xdr:cNvPr>
        <xdr:cNvSpPr/>
      </xdr:nvSpPr>
      <xdr:spPr>
        <a:xfrm>
          <a:off x="0" y="4070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323850</xdr:colOff>
      <xdr:row>255</xdr:row>
      <xdr:rowOff>120650</xdr:rowOff>
    </xdr:to>
    <xdr:sp macro="" textlink="">
      <xdr:nvSpPr>
        <xdr:cNvPr id="99" name="Frame 98">
          <a:extLst>
            <a:ext uri="{FF2B5EF4-FFF2-40B4-BE49-F238E27FC236}">
              <a16:creationId xmlns:a16="http://schemas.microsoft.com/office/drawing/2014/main" id="{17611995-4AF2-4813-B646-8243D1AB0CE4}"/>
            </a:ext>
          </a:extLst>
        </xdr:cNvPr>
        <xdr:cNvSpPr/>
      </xdr:nvSpPr>
      <xdr:spPr>
        <a:xfrm>
          <a:off x="0" y="41071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323850</xdr:colOff>
      <xdr:row>278</xdr:row>
      <xdr:rowOff>120650</xdr:rowOff>
    </xdr:to>
    <xdr:sp macro="" textlink="">
      <xdr:nvSpPr>
        <xdr:cNvPr id="78" name="Frame 77">
          <a:extLst>
            <a:ext uri="{FF2B5EF4-FFF2-40B4-BE49-F238E27FC236}">
              <a16:creationId xmlns:a16="http://schemas.microsoft.com/office/drawing/2014/main" id="{F781B460-B6B7-4534-9C8A-7860BBC442AA}"/>
            </a:ext>
          </a:extLst>
        </xdr:cNvPr>
        <xdr:cNvSpPr/>
      </xdr:nvSpPr>
      <xdr:spPr>
        <a:xfrm>
          <a:off x="0" y="2669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279</xdr:row>
      <xdr:rowOff>0</xdr:rowOff>
    </xdr:from>
    <xdr:to>
      <xdr:col>0</xdr:col>
      <xdr:colOff>323850</xdr:colOff>
      <xdr:row>280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7E7F48BD-08DD-4FAC-9A9C-3A43DFD74CA0}"/>
            </a:ext>
          </a:extLst>
        </xdr:cNvPr>
        <xdr:cNvSpPr/>
      </xdr:nvSpPr>
      <xdr:spPr>
        <a:xfrm>
          <a:off x="0" y="27063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281</xdr:row>
      <xdr:rowOff>0</xdr:rowOff>
    </xdr:from>
    <xdr:to>
      <xdr:col>0</xdr:col>
      <xdr:colOff>323850</xdr:colOff>
      <xdr:row>282</xdr:row>
      <xdr:rowOff>120650</xdr:rowOff>
    </xdr:to>
    <xdr:sp macro="" textlink="">
      <xdr:nvSpPr>
        <xdr:cNvPr id="92" name="Frame 91">
          <a:extLst>
            <a:ext uri="{FF2B5EF4-FFF2-40B4-BE49-F238E27FC236}">
              <a16:creationId xmlns:a16="http://schemas.microsoft.com/office/drawing/2014/main" id="{2AC891B9-D0D1-4B7B-A14D-3681EE41AC36}"/>
            </a:ext>
          </a:extLst>
        </xdr:cNvPr>
        <xdr:cNvSpPr/>
      </xdr:nvSpPr>
      <xdr:spPr>
        <a:xfrm>
          <a:off x="0" y="27432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283</xdr:row>
      <xdr:rowOff>0</xdr:rowOff>
    </xdr:from>
    <xdr:to>
      <xdr:col>0</xdr:col>
      <xdr:colOff>323850</xdr:colOff>
      <xdr:row>284</xdr:row>
      <xdr:rowOff>120650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3A9A1295-EBA3-4880-8A85-CDD4A2A8154C}"/>
            </a:ext>
          </a:extLst>
        </xdr:cNvPr>
        <xdr:cNvSpPr/>
      </xdr:nvSpPr>
      <xdr:spPr>
        <a:xfrm>
          <a:off x="0" y="27800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0</xdr:col>
      <xdr:colOff>323850</xdr:colOff>
      <xdr:row>286</xdr:row>
      <xdr:rowOff>120650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6B6E99D4-5DE2-4D0D-8485-CD9E47020C19}"/>
            </a:ext>
          </a:extLst>
        </xdr:cNvPr>
        <xdr:cNvSpPr/>
      </xdr:nvSpPr>
      <xdr:spPr>
        <a:xfrm>
          <a:off x="0" y="28168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0</xdr:col>
      <xdr:colOff>323850</xdr:colOff>
      <xdr:row>288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4A8ACCE0-1592-4E05-A710-CEF86C15AD86}"/>
            </a:ext>
          </a:extLst>
        </xdr:cNvPr>
        <xdr:cNvSpPr/>
      </xdr:nvSpPr>
      <xdr:spPr>
        <a:xfrm>
          <a:off x="0" y="2853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323850</xdr:colOff>
      <xdr:row>290</xdr:row>
      <xdr:rowOff>120650</xdr:rowOff>
    </xdr:to>
    <xdr:sp macro="" textlink="">
      <xdr:nvSpPr>
        <xdr:cNvPr id="100" name="Frame 99">
          <a:extLst>
            <a:ext uri="{FF2B5EF4-FFF2-40B4-BE49-F238E27FC236}">
              <a16:creationId xmlns:a16="http://schemas.microsoft.com/office/drawing/2014/main" id="{E877A9D3-E91B-4C35-AC96-A750E8F60353}"/>
            </a:ext>
          </a:extLst>
        </xdr:cNvPr>
        <xdr:cNvSpPr/>
      </xdr:nvSpPr>
      <xdr:spPr>
        <a:xfrm>
          <a:off x="0" y="2890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0</xdr:col>
      <xdr:colOff>323850</xdr:colOff>
      <xdr:row>292</xdr:row>
      <xdr:rowOff>120650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9B5F2A84-DB3A-45EC-9D35-32C0DE920F25}"/>
            </a:ext>
          </a:extLst>
        </xdr:cNvPr>
        <xdr:cNvSpPr/>
      </xdr:nvSpPr>
      <xdr:spPr>
        <a:xfrm>
          <a:off x="0" y="2927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323850</xdr:colOff>
      <xdr:row>294</xdr:row>
      <xdr:rowOff>120650</xdr:rowOff>
    </xdr:to>
    <xdr:sp macro="" textlink="">
      <xdr:nvSpPr>
        <xdr:cNvPr id="102" name="Frame 101">
          <a:extLst>
            <a:ext uri="{FF2B5EF4-FFF2-40B4-BE49-F238E27FC236}">
              <a16:creationId xmlns:a16="http://schemas.microsoft.com/office/drawing/2014/main" id="{2BD736B8-4119-493A-A615-21A683263695}"/>
            </a:ext>
          </a:extLst>
        </xdr:cNvPr>
        <xdr:cNvSpPr/>
      </xdr:nvSpPr>
      <xdr:spPr>
        <a:xfrm>
          <a:off x="0" y="29641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0</xdr:col>
      <xdr:colOff>323850</xdr:colOff>
      <xdr:row>316</xdr:row>
      <xdr:rowOff>120650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F6CEE662-4BFE-444B-BB7E-AE18F8EADB3F}"/>
            </a:ext>
          </a:extLst>
        </xdr:cNvPr>
        <xdr:cNvSpPr/>
      </xdr:nvSpPr>
      <xdr:spPr>
        <a:xfrm>
          <a:off x="0" y="3996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0</xdr:col>
      <xdr:colOff>323850</xdr:colOff>
      <xdr:row>318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2442622D-F4CF-482F-80C8-17A1B4720EBA}"/>
            </a:ext>
          </a:extLst>
        </xdr:cNvPr>
        <xdr:cNvSpPr/>
      </xdr:nvSpPr>
      <xdr:spPr>
        <a:xfrm>
          <a:off x="0" y="4033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0</xdr:col>
      <xdr:colOff>323850</xdr:colOff>
      <xdr:row>320</xdr:row>
      <xdr:rowOff>120650</xdr:rowOff>
    </xdr:to>
    <xdr:sp macro="" textlink="">
      <xdr:nvSpPr>
        <xdr:cNvPr id="106" name="Frame 105">
          <a:extLst>
            <a:ext uri="{FF2B5EF4-FFF2-40B4-BE49-F238E27FC236}">
              <a16:creationId xmlns:a16="http://schemas.microsoft.com/office/drawing/2014/main" id="{AC5A6597-BC76-455F-9687-FA6747A63F1E}"/>
            </a:ext>
          </a:extLst>
        </xdr:cNvPr>
        <xdr:cNvSpPr/>
      </xdr:nvSpPr>
      <xdr:spPr>
        <a:xfrm>
          <a:off x="0" y="4070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323850</xdr:colOff>
      <xdr:row>322</xdr:row>
      <xdr:rowOff>120650</xdr:rowOff>
    </xdr:to>
    <xdr:sp macro="" textlink="">
      <xdr:nvSpPr>
        <xdr:cNvPr id="107" name="Frame 106">
          <a:extLst>
            <a:ext uri="{FF2B5EF4-FFF2-40B4-BE49-F238E27FC236}">
              <a16:creationId xmlns:a16="http://schemas.microsoft.com/office/drawing/2014/main" id="{57E4754E-B0DD-49D7-A366-70131BDFDEAB}"/>
            </a:ext>
          </a:extLst>
        </xdr:cNvPr>
        <xdr:cNvSpPr/>
      </xdr:nvSpPr>
      <xdr:spPr>
        <a:xfrm>
          <a:off x="0" y="41071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0</xdr:col>
      <xdr:colOff>323850</xdr:colOff>
      <xdr:row>324</xdr:row>
      <xdr:rowOff>120650</xdr:rowOff>
    </xdr:to>
    <xdr:sp macro="" textlink="">
      <xdr:nvSpPr>
        <xdr:cNvPr id="108" name="Frame 107">
          <a:extLst>
            <a:ext uri="{FF2B5EF4-FFF2-40B4-BE49-F238E27FC236}">
              <a16:creationId xmlns:a16="http://schemas.microsoft.com/office/drawing/2014/main" id="{451CCC13-58F0-4EEA-9404-8236230C8D6C}"/>
            </a:ext>
          </a:extLst>
        </xdr:cNvPr>
        <xdr:cNvSpPr/>
      </xdr:nvSpPr>
      <xdr:spPr>
        <a:xfrm>
          <a:off x="0" y="41440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323850</xdr:colOff>
      <xdr:row>296</xdr:row>
      <xdr:rowOff>120650</xdr:rowOff>
    </xdr:to>
    <xdr:sp macro="" textlink="">
      <xdr:nvSpPr>
        <xdr:cNvPr id="109" name="Frame 108">
          <a:extLst>
            <a:ext uri="{FF2B5EF4-FFF2-40B4-BE49-F238E27FC236}">
              <a16:creationId xmlns:a16="http://schemas.microsoft.com/office/drawing/2014/main" id="{082CE995-01A5-47DF-B114-387DE6D451EA}"/>
            </a:ext>
          </a:extLst>
        </xdr:cNvPr>
        <xdr:cNvSpPr/>
      </xdr:nvSpPr>
      <xdr:spPr>
        <a:xfrm>
          <a:off x="0" y="52870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297</xdr:row>
      <xdr:rowOff>0</xdr:rowOff>
    </xdr:from>
    <xdr:to>
      <xdr:col>0</xdr:col>
      <xdr:colOff>323850</xdr:colOff>
      <xdr:row>298</xdr:row>
      <xdr:rowOff>120650</xdr:rowOff>
    </xdr:to>
    <xdr:sp macro="" textlink="">
      <xdr:nvSpPr>
        <xdr:cNvPr id="110" name="Frame 109">
          <a:extLst>
            <a:ext uri="{FF2B5EF4-FFF2-40B4-BE49-F238E27FC236}">
              <a16:creationId xmlns:a16="http://schemas.microsoft.com/office/drawing/2014/main" id="{E85D0733-2204-45EA-B43C-FC9A66CD9D04}"/>
            </a:ext>
          </a:extLst>
        </xdr:cNvPr>
        <xdr:cNvSpPr/>
      </xdr:nvSpPr>
      <xdr:spPr>
        <a:xfrm>
          <a:off x="0" y="5323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323850</xdr:colOff>
      <xdr:row>300</xdr:row>
      <xdr:rowOff>120650</xdr:rowOff>
    </xdr:to>
    <xdr:sp macro="" textlink="">
      <xdr:nvSpPr>
        <xdr:cNvPr id="111" name="Frame 110">
          <a:extLst>
            <a:ext uri="{FF2B5EF4-FFF2-40B4-BE49-F238E27FC236}">
              <a16:creationId xmlns:a16="http://schemas.microsoft.com/office/drawing/2014/main" id="{B1197234-5DB4-4D01-ABAA-316B5B69F4B7}"/>
            </a:ext>
          </a:extLst>
        </xdr:cNvPr>
        <xdr:cNvSpPr/>
      </xdr:nvSpPr>
      <xdr:spPr>
        <a:xfrm>
          <a:off x="0" y="53606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323850</xdr:colOff>
      <xdr:row>345</xdr:row>
      <xdr:rowOff>120650</xdr:rowOff>
    </xdr:to>
    <xdr:sp macro="" textlink="">
      <xdr:nvSpPr>
        <xdr:cNvPr id="112" name="Frame 111">
          <a:extLst>
            <a:ext uri="{FF2B5EF4-FFF2-40B4-BE49-F238E27FC236}">
              <a16:creationId xmlns:a16="http://schemas.microsoft.com/office/drawing/2014/main" id="{96AA49F5-39DF-45C3-B58B-FB64420F6C78}"/>
            </a:ext>
          </a:extLst>
        </xdr:cNvPr>
        <xdr:cNvSpPr/>
      </xdr:nvSpPr>
      <xdr:spPr>
        <a:xfrm>
          <a:off x="0" y="3834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346</xdr:row>
      <xdr:rowOff>0</xdr:rowOff>
    </xdr:from>
    <xdr:to>
      <xdr:col>0</xdr:col>
      <xdr:colOff>323850</xdr:colOff>
      <xdr:row>347</xdr:row>
      <xdr:rowOff>120650</xdr:rowOff>
    </xdr:to>
    <xdr:sp macro="" textlink="">
      <xdr:nvSpPr>
        <xdr:cNvPr id="113" name="Frame 112">
          <a:extLst>
            <a:ext uri="{FF2B5EF4-FFF2-40B4-BE49-F238E27FC236}">
              <a16:creationId xmlns:a16="http://schemas.microsoft.com/office/drawing/2014/main" id="{F31FF52A-347E-448A-A6F2-FA1097B4B89D}"/>
            </a:ext>
          </a:extLst>
        </xdr:cNvPr>
        <xdr:cNvSpPr/>
      </xdr:nvSpPr>
      <xdr:spPr>
        <a:xfrm>
          <a:off x="0" y="3870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348</xdr:row>
      <xdr:rowOff>0</xdr:rowOff>
    </xdr:from>
    <xdr:to>
      <xdr:col>0</xdr:col>
      <xdr:colOff>323850</xdr:colOff>
      <xdr:row>349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E1995BF9-B081-47C1-AEBA-4D6D8346CB79}"/>
            </a:ext>
          </a:extLst>
        </xdr:cNvPr>
        <xdr:cNvSpPr/>
      </xdr:nvSpPr>
      <xdr:spPr>
        <a:xfrm>
          <a:off x="0" y="3907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0</xdr:col>
      <xdr:colOff>323850</xdr:colOff>
      <xdr:row>351</xdr:row>
      <xdr:rowOff>120650</xdr:rowOff>
    </xdr:to>
    <xdr:sp macro="" textlink="">
      <xdr:nvSpPr>
        <xdr:cNvPr id="115" name="Frame 114">
          <a:extLst>
            <a:ext uri="{FF2B5EF4-FFF2-40B4-BE49-F238E27FC236}">
              <a16:creationId xmlns:a16="http://schemas.microsoft.com/office/drawing/2014/main" id="{DF11BFA8-8FE8-4DFD-A895-9215C028B041}"/>
            </a:ext>
          </a:extLst>
        </xdr:cNvPr>
        <xdr:cNvSpPr/>
      </xdr:nvSpPr>
      <xdr:spPr>
        <a:xfrm>
          <a:off x="0" y="3944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0</xdr:col>
      <xdr:colOff>323850</xdr:colOff>
      <xdr:row>353</xdr:row>
      <xdr:rowOff>120650</xdr:rowOff>
    </xdr:to>
    <xdr:sp macro="" textlink="">
      <xdr:nvSpPr>
        <xdr:cNvPr id="116" name="Frame 115">
          <a:extLst>
            <a:ext uri="{FF2B5EF4-FFF2-40B4-BE49-F238E27FC236}">
              <a16:creationId xmlns:a16="http://schemas.microsoft.com/office/drawing/2014/main" id="{1861E89D-39CF-4522-BA22-245B71368D71}"/>
            </a:ext>
          </a:extLst>
        </xdr:cNvPr>
        <xdr:cNvSpPr/>
      </xdr:nvSpPr>
      <xdr:spPr>
        <a:xfrm>
          <a:off x="0" y="3981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354</xdr:row>
      <xdr:rowOff>0</xdr:rowOff>
    </xdr:from>
    <xdr:to>
      <xdr:col>0</xdr:col>
      <xdr:colOff>323850</xdr:colOff>
      <xdr:row>355</xdr:row>
      <xdr:rowOff>120650</xdr:rowOff>
    </xdr:to>
    <xdr:sp macro="" textlink="">
      <xdr:nvSpPr>
        <xdr:cNvPr id="117" name="Frame 116">
          <a:extLst>
            <a:ext uri="{FF2B5EF4-FFF2-40B4-BE49-F238E27FC236}">
              <a16:creationId xmlns:a16="http://schemas.microsoft.com/office/drawing/2014/main" id="{8FA330DC-475D-471A-8C54-39DB1CA594C1}"/>
            </a:ext>
          </a:extLst>
        </xdr:cNvPr>
        <xdr:cNvSpPr/>
      </xdr:nvSpPr>
      <xdr:spPr>
        <a:xfrm>
          <a:off x="0" y="4018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356</xdr:row>
      <xdr:rowOff>0</xdr:rowOff>
    </xdr:from>
    <xdr:to>
      <xdr:col>0</xdr:col>
      <xdr:colOff>323850</xdr:colOff>
      <xdr:row>357</xdr:row>
      <xdr:rowOff>120650</xdr:rowOff>
    </xdr:to>
    <xdr:sp macro="" textlink="">
      <xdr:nvSpPr>
        <xdr:cNvPr id="118" name="Frame 117">
          <a:extLst>
            <a:ext uri="{FF2B5EF4-FFF2-40B4-BE49-F238E27FC236}">
              <a16:creationId xmlns:a16="http://schemas.microsoft.com/office/drawing/2014/main" id="{C5C9D0CD-80F6-46F9-9FB4-4FEB1E943A24}"/>
            </a:ext>
          </a:extLst>
        </xdr:cNvPr>
        <xdr:cNvSpPr/>
      </xdr:nvSpPr>
      <xdr:spPr>
        <a:xfrm>
          <a:off x="0" y="4055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0</xdr:col>
      <xdr:colOff>323850</xdr:colOff>
      <xdr:row>359</xdr:row>
      <xdr:rowOff>120650</xdr:rowOff>
    </xdr:to>
    <xdr:sp macro="" textlink="">
      <xdr:nvSpPr>
        <xdr:cNvPr id="119" name="Frame 118">
          <a:extLst>
            <a:ext uri="{FF2B5EF4-FFF2-40B4-BE49-F238E27FC236}">
              <a16:creationId xmlns:a16="http://schemas.microsoft.com/office/drawing/2014/main" id="{6CC39BBD-201E-4A16-AC8A-02C739BF84A2}"/>
            </a:ext>
          </a:extLst>
        </xdr:cNvPr>
        <xdr:cNvSpPr/>
      </xdr:nvSpPr>
      <xdr:spPr>
        <a:xfrm>
          <a:off x="0" y="4091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0</xdr:col>
      <xdr:colOff>323850</xdr:colOff>
      <xdr:row>361</xdr:row>
      <xdr:rowOff>120650</xdr:rowOff>
    </xdr:to>
    <xdr:sp macro="" textlink="">
      <xdr:nvSpPr>
        <xdr:cNvPr id="120" name="Frame 119">
          <a:extLst>
            <a:ext uri="{FF2B5EF4-FFF2-40B4-BE49-F238E27FC236}">
              <a16:creationId xmlns:a16="http://schemas.microsoft.com/office/drawing/2014/main" id="{97DC24DF-82C4-4330-9CDE-023A2674C002}"/>
            </a:ext>
          </a:extLst>
        </xdr:cNvPr>
        <xdr:cNvSpPr/>
      </xdr:nvSpPr>
      <xdr:spPr>
        <a:xfrm>
          <a:off x="0" y="4128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0</xdr:col>
      <xdr:colOff>323850</xdr:colOff>
      <xdr:row>363</xdr:row>
      <xdr:rowOff>120650</xdr:rowOff>
    </xdr:to>
    <xdr:sp macro="" textlink="">
      <xdr:nvSpPr>
        <xdr:cNvPr id="121" name="Frame 120">
          <a:extLst>
            <a:ext uri="{FF2B5EF4-FFF2-40B4-BE49-F238E27FC236}">
              <a16:creationId xmlns:a16="http://schemas.microsoft.com/office/drawing/2014/main" id="{EFEBB2B2-940B-4CB7-96AA-B20B5832C147}"/>
            </a:ext>
          </a:extLst>
        </xdr:cNvPr>
        <xdr:cNvSpPr/>
      </xdr:nvSpPr>
      <xdr:spPr>
        <a:xfrm>
          <a:off x="0" y="4165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0</xdr:col>
      <xdr:colOff>323850</xdr:colOff>
      <xdr:row>365</xdr:row>
      <xdr:rowOff>120650</xdr:rowOff>
    </xdr:to>
    <xdr:sp macro="" textlink="">
      <xdr:nvSpPr>
        <xdr:cNvPr id="122" name="Frame 121">
          <a:extLst>
            <a:ext uri="{FF2B5EF4-FFF2-40B4-BE49-F238E27FC236}">
              <a16:creationId xmlns:a16="http://schemas.microsoft.com/office/drawing/2014/main" id="{2A386318-15A9-49CE-8326-6BBD0335098F}"/>
            </a:ext>
          </a:extLst>
        </xdr:cNvPr>
        <xdr:cNvSpPr/>
      </xdr:nvSpPr>
      <xdr:spPr>
        <a:xfrm>
          <a:off x="0" y="4202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366</xdr:row>
      <xdr:rowOff>0</xdr:rowOff>
    </xdr:from>
    <xdr:to>
      <xdr:col>0</xdr:col>
      <xdr:colOff>323850</xdr:colOff>
      <xdr:row>367</xdr:row>
      <xdr:rowOff>120650</xdr:rowOff>
    </xdr:to>
    <xdr:sp macro="" textlink="">
      <xdr:nvSpPr>
        <xdr:cNvPr id="123" name="Frame 122">
          <a:extLst>
            <a:ext uri="{FF2B5EF4-FFF2-40B4-BE49-F238E27FC236}">
              <a16:creationId xmlns:a16="http://schemas.microsoft.com/office/drawing/2014/main" id="{98BDF6A1-FB8C-4AF8-ABEA-B75A4A67D7F3}"/>
            </a:ext>
          </a:extLst>
        </xdr:cNvPr>
        <xdr:cNvSpPr/>
      </xdr:nvSpPr>
      <xdr:spPr>
        <a:xfrm>
          <a:off x="0" y="4239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368</xdr:row>
      <xdr:rowOff>0</xdr:rowOff>
    </xdr:from>
    <xdr:to>
      <xdr:col>0</xdr:col>
      <xdr:colOff>323850</xdr:colOff>
      <xdr:row>369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4CA3713E-67BF-48B8-AD5E-BD05FBEA46D1}"/>
            </a:ext>
          </a:extLst>
        </xdr:cNvPr>
        <xdr:cNvSpPr/>
      </xdr:nvSpPr>
      <xdr:spPr>
        <a:xfrm>
          <a:off x="0" y="6650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323850</xdr:colOff>
      <xdr:row>371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35CA8B23-57CD-4442-B612-10D09A3EDBFC}"/>
            </a:ext>
          </a:extLst>
        </xdr:cNvPr>
        <xdr:cNvSpPr/>
      </xdr:nvSpPr>
      <xdr:spPr>
        <a:xfrm>
          <a:off x="0" y="66878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0</xdr:col>
      <xdr:colOff>323850</xdr:colOff>
      <xdr:row>386</xdr:row>
      <xdr:rowOff>120650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FEA9F524-B635-4634-B197-C6711D26069F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387</xdr:row>
      <xdr:rowOff>0</xdr:rowOff>
    </xdr:from>
    <xdr:to>
      <xdr:col>0</xdr:col>
      <xdr:colOff>323850</xdr:colOff>
      <xdr:row>388</xdr:row>
      <xdr:rowOff>120650</xdr:rowOff>
    </xdr:to>
    <xdr:sp macro="" textlink="">
      <xdr:nvSpPr>
        <xdr:cNvPr id="127" name="Frame 126">
          <a:extLst>
            <a:ext uri="{FF2B5EF4-FFF2-40B4-BE49-F238E27FC236}">
              <a16:creationId xmlns:a16="http://schemas.microsoft.com/office/drawing/2014/main" id="{F9728C5F-0453-431C-ACE6-D30DA73516C1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389</xdr:row>
      <xdr:rowOff>0</xdr:rowOff>
    </xdr:from>
    <xdr:to>
      <xdr:col>0</xdr:col>
      <xdr:colOff>323850</xdr:colOff>
      <xdr:row>390</xdr:row>
      <xdr:rowOff>120650</xdr:rowOff>
    </xdr:to>
    <xdr:sp macro="" textlink="">
      <xdr:nvSpPr>
        <xdr:cNvPr id="128" name="Frame 127">
          <a:extLst>
            <a:ext uri="{FF2B5EF4-FFF2-40B4-BE49-F238E27FC236}">
              <a16:creationId xmlns:a16="http://schemas.microsoft.com/office/drawing/2014/main" id="{CC95EAF5-6607-4EC9-BE95-D6803DFC4695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0</xdr:col>
      <xdr:colOff>323850</xdr:colOff>
      <xdr:row>392</xdr:row>
      <xdr:rowOff>120650</xdr:rowOff>
    </xdr:to>
    <xdr:sp macro="" textlink="">
      <xdr:nvSpPr>
        <xdr:cNvPr id="129" name="Frame 128">
          <a:extLst>
            <a:ext uri="{FF2B5EF4-FFF2-40B4-BE49-F238E27FC236}">
              <a16:creationId xmlns:a16="http://schemas.microsoft.com/office/drawing/2014/main" id="{86AC4DA2-0523-4E1F-9113-3DA935C67222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0</xdr:col>
      <xdr:colOff>323850</xdr:colOff>
      <xdr:row>394</xdr:row>
      <xdr:rowOff>120650</xdr:rowOff>
    </xdr:to>
    <xdr:sp macro="" textlink="">
      <xdr:nvSpPr>
        <xdr:cNvPr id="130" name="Frame 129">
          <a:extLst>
            <a:ext uri="{FF2B5EF4-FFF2-40B4-BE49-F238E27FC236}">
              <a16:creationId xmlns:a16="http://schemas.microsoft.com/office/drawing/2014/main" id="{2D2CAD0E-6DFB-4C04-9A6F-30696547E83C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395</xdr:row>
      <xdr:rowOff>0</xdr:rowOff>
    </xdr:from>
    <xdr:to>
      <xdr:col>0</xdr:col>
      <xdr:colOff>323850</xdr:colOff>
      <xdr:row>396</xdr:row>
      <xdr:rowOff>120650</xdr:rowOff>
    </xdr:to>
    <xdr:sp macro="" textlink="">
      <xdr:nvSpPr>
        <xdr:cNvPr id="131" name="Frame 130">
          <a:extLst>
            <a:ext uri="{FF2B5EF4-FFF2-40B4-BE49-F238E27FC236}">
              <a16:creationId xmlns:a16="http://schemas.microsoft.com/office/drawing/2014/main" id="{33183ED2-FFB0-46E8-B2B9-34F6C8CE80D6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397</xdr:row>
      <xdr:rowOff>0</xdr:rowOff>
    </xdr:from>
    <xdr:to>
      <xdr:col>0</xdr:col>
      <xdr:colOff>323850</xdr:colOff>
      <xdr:row>398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8E372CD8-4C94-47B1-B999-26ADA0BCEB3C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0</xdr:col>
      <xdr:colOff>323850</xdr:colOff>
      <xdr:row>400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B2A4288A-70FB-460B-9E50-E0B2E808EE1E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401</xdr:row>
      <xdr:rowOff>0</xdr:rowOff>
    </xdr:from>
    <xdr:to>
      <xdr:col>0</xdr:col>
      <xdr:colOff>323850</xdr:colOff>
      <xdr:row>402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5B37CBF8-8C09-4C52-8E44-FFC55DB857CD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0</xdr:col>
      <xdr:colOff>323850</xdr:colOff>
      <xdr:row>404</xdr:row>
      <xdr:rowOff>120650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11A33EFA-5DA9-4F8C-ADA1-AA0516064A23}"/>
            </a:ext>
          </a:extLst>
        </xdr:cNvPr>
        <xdr:cNvSpPr/>
      </xdr:nvSpPr>
      <xdr:spPr>
        <a:xfrm>
          <a:off x="0" y="440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323850</xdr:colOff>
      <xdr:row>406</xdr:row>
      <xdr:rowOff>120650</xdr:rowOff>
    </xdr:to>
    <xdr:sp macro="" textlink="">
      <xdr:nvSpPr>
        <xdr:cNvPr id="136" name="Frame 135">
          <a:extLst>
            <a:ext uri="{FF2B5EF4-FFF2-40B4-BE49-F238E27FC236}">
              <a16:creationId xmlns:a16="http://schemas.microsoft.com/office/drawing/2014/main" id="{57058CE1-4967-40A3-9CD4-9DF7B9C2E320}"/>
            </a:ext>
          </a:extLst>
        </xdr:cNvPr>
        <xdr:cNvSpPr/>
      </xdr:nvSpPr>
      <xdr:spPr>
        <a:xfrm>
          <a:off x="0" y="476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421</xdr:row>
      <xdr:rowOff>0</xdr:rowOff>
    </xdr:from>
    <xdr:to>
      <xdr:col>0</xdr:col>
      <xdr:colOff>323850</xdr:colOff>
      <xdr:row>422</xdr:row>
      <xdr:rowOff>120650</xdr:rowOff>
    </xdr:to>
    <xdr:sp macro="" textlink="">
      <xdr:nvSpPr>
        <xdr:cNvPr id="137" name="Frame 136">
          <a:extLst>
            <a:ext uri="{FF2B5EF4-FFF2-40B4-BE49-F238E27FC236}">
              <a16:creationId xmlns:a16="http://schemas.microsoft.com/office/drawing/2014/main" id="{6FA0C38F-B298-417A-9F27-095FC29D5C50}"/>
            </a:ext>
          </a:extLst>
        </xdr:cNvPr>
        <xdr:cNvSpPr/>
      </xdr:nvSpPr>
      <xdr:spPr>
        <a:xfrm>
          <a:off x="0" y="70015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423</xdr:row>
      <xdr:rowOff>0</xdr:rowOff>
    </xdr:from>
    <xdr:to>
      <xdr:col>0</xdr:col>
      <xdr:colOff>323850</xdr:colOff>
      <xdr:row>424</xdr:row>
      <xdr:rowOff>120650</xdr:rowOff>
    </xdr:to>
    <xdr:sp macro="" textlink="">
      <xdr:nvSpPr>
        <xdr:cNvPr id="138" name="Frame 137">
          <a:extLst>
            <a:ext uri="{FF2B5EF4-FFF2-40B4-BE49-F238E27FC236}">
              <a16:creationId xmlns:a16="http://schemas.microsoft.com/office/drawing/2014/main" id="{DCE0514D-5DDE-45F1-8F17-1541520944D5}"/>
            </a:ext>
          </a:extLst>
        </xdr:cNvPr>
        <xdr:cNvSpPr/>
      </xdr:nvSpPr>
      <xdr:spPr>
        <a:xfrm>
          <a:off x="0" y="70383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0</xdr:col>
      <xdr:colOff>323850</xdr:colOff>
      <xdr:row>426</xdr:row>
      <xdr:rowOff>120650</xdr:rowOff>
    </xdr:to>
    <xdr:sp macro="" textlink="">
      <xdr:nvSpPr>
        <xdr:cNvPr id="139" name="Frame 138">
          <a:extLst>
            <a:ext uri="{FF2B5EF4-FFF2-40B4-BE49-F238E27FC236}">
              <a16:creationId xmlns:a16="http://schemas.microsoft.com/office/drawing/2014/main" id="{B51E0FDF-3964-47D7-8813-E361074B3535}"/>
            </a:ext>
          </a:extLst>
        </xdr:cNvPr>
        <xdr:cNvSpPr/>
      </xdr:nvSpPr>
      <xdr:spPr>
        <a:xfrm>
          <a:off x="0" y="70751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427</xdr:row>
      <xdr:rowOff>0</xdr:rowOff>
    </xdr:from>
    <xdr:to>
      <xdr:col>0</xdr:col>
      <xdr:colOff>323850</xdr:colOff>
      <xdr:row>428</xdr:row>
      <xdr:rowOff>120650</xdr:rowOff>
    </xdr:to>
    <xdr:sp macro="" textlink="">
      <xdr:nvSpPr>
        <xdr:cNvPr id="140" name="Frame 139">
          <a:extLst>
            <a:ext uri="{FF2B5EF4-FFF2-40B4-BE49-F238E27FC236}">
              <a16:creationId xmlns:a16="http://schemas.microsoft.com/office/drawing/2014/main" id="{70DFEDD6-EC53-4DCC-9222-10F42E0D0723}"/>
            </a:ext>
          </a:extLst>
        </xdr:cNvPr>
        <xdr:cNvSpPr/>
      </xdr:nvSpPr>
      <xdr:spPr>
        <a:xfrm>
          <a:off x="0" y="71120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429</xdr:row>
      <xdr:rowOff>0</xdr:rowOff>
    </xdr:from>
    <xdr:to>
      <xdr:col>0</xdr:col>
      <xdr:colOff>323850</xdr:colOff>
      <xdr:row>430</xdr:row>
      <xdr:rowOff>120650</xdr:rowOff>
    </xdr:to>
    <xdr:sp macro="" textlink="">
      <xdr:nvSpPr>
        <xdr:cNvPr id="141" name="Frame 140">
          <a:extLst>
            <a:ext uri="{FF2B5EF4-FFF2-40B4-BE49-F238E27FC236}">
              <a16:creationId xmlns:a16="http://schemas.microsoft.com/office/drawing/2014/main" id="{F1EAE167-446E-40C0-9558-F1FBB7C7819F}"/>
            </a:ext>
          </a:extLst>
        </xdr:cNvPr>
        <xdr:cNvSpPr/>
      </xdr:nvSpPr>
      <xdr:spPr>
        <a:xfrm>
          <a:off x="0" y="71488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431</xdr:row>
      <xdr:rowOff>0</xdr:rowOff>
    </xdr:from>
    <xdr:to>
      <xdr:col>0</xdr:col>
      <xdr:colOff>323850</xdr:colOff>
      <xdr:row>432</xdr:row>
      <xdr:rowOff>120650</xdr:rowOff>
    </xdr:to>
    <xdr:sp macro="" textlink="">
      <xdr:nvSpPr>
        <xdr:cNvPr id="142" name="Frame 141">
          <a:extLst>
            <a:ext uri="{FF2B5EF4-FFF2-40B4-BE49-F238E27FC236}">
              <a16:creationId xmlns:a16="http://schemas.microsoft.com/office/drawing/2014/main" id="{11C76F4D-F7CE-47BF-9F43-9CB7F5094F5A}"/>
            </a:ext>
          </a:extLst>
        </xdr:cNvPr>
        <xdr:cNvSpPr/>
      </xdr:nvSpPr>
      <xdr:spPr>
        <a:xfrm>
          <a:off x="0" y="71856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323850</xdr:colOff>
      <xdr:row>434</xdr:row>
      <xdr:rowOff>120650</xdr:rowOff>
    </xdr:to>
    <xdr:sp macro="" textlink="">
      <xdr:nvSpPr>
        <xdr:cNvPr id="143" name="Frame 142">
          <a:extLst>
            <a:ext uri="{FF2B5EF4-FFF2-40B4-BE49-F238E27FC236}">
              <a16:creationId xmlns:a16="http://schemas.microsoft.com/office/drawing/2014/main" id="{B7C6F67D-09A5-41C8-A866-6418DE734D13}"/>
            </a:ext>
          </a:extLst>
        </xdr:cNvPr>
        <xdr:cNvSpPr/>
      </xdr:nvSpPr>
      <xdr:spPr>
        <a:xfrm>
          <a:off x="0" y="72224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435</xdr:row>
      <xdr:rowOff>0</xdr:rowOff>
    </xdr:from>
    <xdr:to>
      <xdr:col>0</xdr:col>
      <xdr:colOff>323850</xdr:colOff>
      <xdr:row>436</xdr:row>
      <xdr:rowOff>120650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1F2F3985-69BB-4499-975F-00FA322AB44C}"/>
            </a:ext>
          </a:extLst>
        </xdr:cNvPr>
        <xdr:cNvSpPr/>
      </xdr:nvSpPr>
      <xdr:spPr>
        <a:xfrm>
          <a:off x="0" y="72593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437</xdr:row>
      <xdr:rowOff>0</xdr:rowOff>
    </xdr:from>
    <xdr:to>
      <xdr:col>0</xdr:col>
      <xdr:colOff>323850</xdr:colOff>
      <xdr:row>438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83A76B23-5C91-4109-8A9B-A947FE122C8B}"/>
            </a:ext>
          </a:extLst>
        </xdr:cNvPr>
        <xdr:cNvSpPr/>
      </xdr:nvSpPr>
      <xdr:spPr>
        <a:xfrm>
          <a:off x="0" y="72961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439</xdr:row>
      <xdr:rowOff>0</xdr:rowOff>
    </xdr:from>
    <xdr:to>
      <xdr:col>0</xdr:col>
      <xdr:colOff>323850</xdr:colOff>
      <xdr:row>440</xdr:row>
      <xdr:rowOff>120650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69238C9A-2638-4A63-8A56-4F75ADDB0403}"/>
            </a:ext>
          </a:extLst>
        </xdr:cNvPr>
        <xdr:cNvSpPr/>
      </xdr:nvSpPr>
      <xdr:spPr>
        <a:xfrm>
          <a:off x="0" y="7332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323850</xdr:colOff>
      <xdr:row>442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F1DB7830-C25B-4A11-9322-EA05B25813D6}"/>
            </a:ext>
          </a:extLst>
        </xdr:cNvPr>
        <xdr:cNvSpPr/>
      </xdr:nvSpPr>
      <xdr:spPr>
        <a:xfrm>
          <a:off x="0" y="7369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443</xdr:row>
      <xdr:rowOff>0</xdr:rowOff>
    </xdr:from>
    <xdr:to>
      <xdr:col>0</xdr:col>
      <xdr:colOff>323850</xdr:colOff>
      <xdr:row>444</xdr:row>
      <xdr:rowOff>120650</xdr:rowOff>
    </xdr:to>
    <xdr:sp macro="" textlink="">
      <xdr:nvSpPr>
        <xdr:cNvPr id="148" name="Frame 147">
          <a:extLst>
            <a:ext uri="{FF2B5EF4-FFF2-40B4-BE49-F238E27FC236}">
              <a16:creationId xmlns:a16="http://schemas.microsoft.com/office/drawing/2014/main" id="{09449793-4A6E-40C7-B27E-A097C7D5D25D}"/>
            </a:ext>
          </a:extLst>
        </xdr:cNvPr>
        <xdr:cNvSpPr/>
      </xdr:nvSpPr>
      <xdr:spPr>
        <a:xfrm>
          <a:off x="0" y="8088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0</xdr:col>
      <xdr:colOff>323850</xdr:colOff>
      <xdr:row>459</xdr:row>
      <xdr:rowOff>120650</xdr:rowOff>
    </xdr:to>
    <xdr:sp macro="" textlink="">
      <xdr:nvSpPr>
        <xdr:cNvPr id="149" name="Frame 148">
          <a:extLst>
            <a:ext uri="{FF2B5EF4-FFF2-40B4-BE49-F238E27FC236}">
              <a16:creationId xmlns:a16="http://schemas.microsoft.com/office/drawing/2014/main" id="{0A64E769-F8D5-4E75-A962-7453AFE18C88}"/>
            </a:ext>
          </a:extLst>
        </xdr:cNvPr>
        <xdr:cNvSpPr/>
      </xdr:nvSpPr>
      <xdr:spPr>
        <a:xfrm>
          <a:off x="0" y="76835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460</xdr:row>
      <xdr:rowOff>0</xdr:rowOff>
    </xdr:from>
    <xdr:to>
      <xdr:col>0</xdr:col>
      <xdr:colOff>323850</xdr:colOff>
      <xdr:row>461</xdr:row>
      <xdr:rowOff>120650</xdr:rowOff>
    </xdr:to>
    <xdr:sp macro="" textlink="">
      <xdr:nvSpPr>
        <xdr:cNvPr id="150" name="Frame 149">
          <a:extLst>
            <a:ext uri="{FF2B5EF4-FFF2-40B4-BE49-F238E27FC236}">
              <a16:creationId xmlns:a16="http://schemas.microsoft.com/office/drawing/2014/main" id="{9A270741-CA71-4409-A6B9-DBDDA91F5B2D}"/>
            </a:ext>
          </a:extLst>
        </xdr:cNvPr>
        <xdr:cNvSpPr/>
      </xdr:nvSpPr>
      <xdr:spPr>
        <a:xfrm>
          <a:off x="0" y="77203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462</xdr:row>
      <xdr:rowOff>0</xdr:rowOff>
    </xdr:from>
    <xdr:to>
      <xdr:col>0</xdr:col>
      <xdr:colOff>323850</xdr:colOff>
      <xdr:row>463</xdr:row>
      <xdr:rowOff>120650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84BC88FA-BE3A-4BA7-8F64-98C4EDB73B65}"/>
            </a:ext>
          </a:extLst>
        </xdr:cNvPr>
        <xdr:cNvSpPr/>
      </xdr:nvSpPr>
      <xdr:spPr>
        <a:xfrm>
          <a:off x="0" y="77571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464</xdr:row>
      <xdr:rowOff>0</xdr:rowOff>
    </xdr:from>
    <xdr:to>
      <xdr:col>0</xdr:col>
      <xdr:colOff>323850</xdr:colOff>
      <xdr:row>465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CFC73FA2-BD69-470E-BFCA-4F4E431FBE23}"/>
            </a:ext>
          </a:extLst>
        </xdr:cNvPr>
        <xdr:cNvSpPr/>
      </xdr:nvSpPr>
      <xdr:spPr>
        <a:xfrm>
          <a:off x="0" y="7793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323850</xdr:colOff>
      <xdr:row>467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6890F709-94A9-4256-9520-8FEED387B760}"/>
            </a:ext>
          </a:extLst>
        </xdr:cNvPr>
        <xdr:cNvSpPr/>
      </xdr:nvSpPr>
      <xdr:spPr>
        <a:xfrm>
          <a:off x="0" y="78308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0</xdr:col>
      <xdr:colOff>323850</xdr:colOff>
      <xdr:row>469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BD40536A-D56F-4625-B85F-56BB727CDB45}"/>
            </a:ext>
          </a:extLst>
        </xdr:cNvPr>
        <xdr:cNvSpPr/>
      </xdr:nvSpPr>
      <xdr:spPr>
        <a:xfrm>
          <a:off x="0" y="78676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470</xdr:row>
      <xdr:rowOff>0</xdr:rowOff>
    </xdr:from>
    <xdr:to>
      <xdr:col>0</xdr:col>
      <xdr:colOff>323850</xdr:colOff>
      <xdr:row>471</xdr:row>
      <xdr:rowOff>120650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488D3DB3-6C1B-40F6-80BB-EA670722F8FC}"/>
            </a:ext>
          </a:extLst>
        </xdr:cNvPr>
        <xdr:cNvSpPr/>
      </xdr:nvSpPr>
      <xdr:spPr>
        <a:xfrm>
          <a:off x="0" y="79044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0</xdr:col>
      <xdr:colOff>323850</xdr:colOff>
      <xdr:row>473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5B00F1B8-A383-490C-B1C3-5B42F1704342}"/>
            </a:ext>
          </a:extLst>
        </xdr:cNvPr>
        <xdr:cNvSpPr/>
      </xdr:nvSpPr>
      <xdr:spPr>
        <a:xfrm>
          <a:off x="0" y="79413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323850</xdr:colOff>
      <xdr:row>475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D6500960-C808-4F38-8D3A-04E6F0F78FC2}"/>
            </a:ext>
          </a:extLst>
        </xdr:cNvPr>
        <xdr:cNvSpPr/>
      </xdr:nvSpPr>
      <xdr:spPr>
        <a:xfrm>
          <a:off x="0" y="7978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476</xdr:row>
      <xdr:rowOff>0</xdr:rowOff>
    </xdr:from>
    <xdr:to>
      <xdr:col>0</xdr:col>
      <xdr:colOff>323850</xdr:colOff>
      <xdr:row>477</xdr:row>
      <xdr:rowOff>120650</xdr:rowOff>
    </xdr:to>
    <xdr:sp macro="" textlink="">
      <xdr:nvSpPr>
        <xdr:cNvPr id="158" name="Frame 157">
          <a:extLst>
            <a:ext uri="{FF2B5EF4-FFF2-40B4-BE49-F238E27FC236}">
              <a16:creationId xmlns:a16="http://schemas.microsoft.com/office/drawing/2014/main" id="{053C4A46-75AA-4B33-997A-FA4FE60A7159}"/>
            </a:ext>
          </a:extLst>
        </xdr:cNvPr>
        <xdr:cNvSpPr/>
      </xdr:nvSpPr>
      <xdr:spPr>
        <a:xfrm>
          <a:off x="0" y="8014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0</xdr:col>
      <xdr:colOff>323850</xdr:colOff>
      <xdr:row>479</xdr:row>
      <xdr:rowOff>120650</xdr:rowOff>
    </xdr:to>
    <xdr:sp macro="" textlink="">
      <xdr:nvSpPr>
        <xdr:cNvPr id="159" name="Frame 158">
          <a:extLst>
            <a:ext uri="{FF2B5EF4-FFF2-40B4-BE49-F238E27FC236}">
              <a16:creationId xmlns:a16="http://schemas.microsoft.com/office/drawing/2014/main" id="{92836229-5F7A-4094-AB0A-93E93FEBEAED}"/>
            </a:ext>
          </a:extLst>
        </xdr:cNvPr>
        <xdr:cNvSpPr/>
      </xdr:nvSpPr>
      <xdr:spPr>
        <a:xfrm>
          <a:off x="0" y="8051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480</xdr:row>
      <xdr:rowOff>0</xdr:rowOff>
    </xdr:from>
    <xdr:to>
      <xdr:col>0</xdr:col>
      <xdr:colOff>323850</xdr:colOff>
      <xdr:row>481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15FF5B90-04D8-4A1A-8BA8-4AA9193F882D}"/>
            </a:ext>
          </a:extLst>
        </xdr:cNvPr>
        <xdr:cNvSpPr/>
      </xdr:nvSpPr>
      <xdr:spPr>
        <a:xfrm>
          <a:off x="0" y="8088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495</xdr:row>
      <xdr:rowOff>0</xdr:rowOff>
    </xdr:from>
    <xdr:to>
      <xdr:col>0</xdr:col>
      <xdr:colOff>323850</xdr:colOff>
      <xdr:row>496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3D954A9A-687E-49FF-9E6B-8400CF134575}"/>
            </a:ext>
          </a:extLst>
        </xdr:cNvPr>
        <xdr:cNvSpPr/>
      </xdr:nvSpPr>
      <xdr:spPr>
        <a:xfrm>
          <a:off x="0" y="8383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497</xdr:row>
      <xdr:rowOff>0</xdr:rowOff>
    </xdr:from>
    <xdr:to>
      <xdr:col>0</xdr:col>
      <xdr:colOff>323850</xdr:colOff>
      <xdr:row>498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58321DD2-5F5D-4DC6-8A71-431629A700F6}"/>
            </a:ext>
          </a:extLst>
        </xdr:cNvPr>
        <xdr:cNvSpPr/>
      </xdr:nvSpPr>
      <xdr:spPr>
        <a:xfrm>
          <a:off x="0" y="8420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499</xdr:row>
      <xdr:rowOff>0</xdr:rowOff>
    </xdr:from>
    <xdr:to>
      <xdr:col>0</xdr:col>
      <xdr:colOff>323850</xdr:colOff>
      <xdr:row>500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F7149B9B-E0B7-45AC-BA93-663245C70DD1}"/>
            </a:ext>
          </a:extLst>
        </xdr:cNvPr>
        <xdr:cNvSpPr/>
      </xdr:nvSpPr>
      <xdr:spPr>
        <a:xfrm>
          <a:off x="0" y="8457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323850</xdr:colOff>
      <xdr:row>502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8FE5D6DD-76EE-4598-8004-2E4E4CD03957}"/>
            </a:ext>
          </a:extLst>
        </xdr:cNvPr>
        <xdr:cNvSpPr/>
      </xdr:nvSpPr>
      <xdr:spPr>
        <a:xfrm>
          <a:off x="0" y="8494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323850</xdr:colOff>
      <xdr:row>504</xdr:row>
      <xdr:rowOff>120650</xdr:rowOff>
    </xdr:to>
    <xdr:sp macro="" textlink="">
      <xdr:nvSpPr>
        <xdr:cNvPr id="165" name="Frame 164">
          <a:extLst>
            <a:ext uri="{FF2B5EF4-FFF2-40B4-BE49-F238E27FC236}">
              <a16:creationId xmlns:a16="http://schemas.microsoft.com/office/drawing/2014/main" id="{690D9E17-D159-4D21-A542-905F4C4D0E37}"/>
            </a:ext>
          </a:extLst>
        </xdr:cNvPr>
        <xdr:cNvSpPr/>
      </xdr:nvSpPr>
      <xdr:spPr>
        <a:xfrm>
          <a:off x="0" y="8531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505</xdr:row>
      <xdr:rowOff>0</xdr:rowOff>
    </xdr:from>
    <xdr:to>
      <xdr:col>0</xdr:col>
      <xdr:colOff>323850</xdr:colOff>
      <xdr:row>506</xdr:row>
      <xdr:rowOff>120650</xdr:rowOff>
    </xdr:to>
    <xdr:sp macro="" textlink="">
      <xdr:nvSpPr>
        <xdr:cNvPr id="166" name="Frame 165">
          <a:extLst>
            <a:ext uri="{FF2B5EF4-FFF2-40B4-BE49-F238E27FC236}">
              <a16:creationId xmlns:a16="http://schemas.microsoft.com/office/drawing/2014/main" id="{393888C6-D6F2-4AE8-B28A-1966D645068C}"/>
            </a:ext>
          </a:extLst>
        </xdr:cNvPr>
        <xdr:cNvSpPr/>
      </xdr:nvSpPr>
      <xdr:spPr>
        <a:xfrm>
          <a:off x="0" y="8568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507</xdr:row>
      <xdr:rowOff>0</xdr:rowOff>
    </xdr:from>
    <xdr:to>
      <xdr:col>0</xdr:col>
      <xdr:colOff>323850</xdr:colOff>
      <xdr:row>508</xdr:row>
      <xdr:rowOff>120650</xdr:rowOff>
    </xdr:to>
    <xdr:sp macro="" textlink="">
      <xdr:nvSpPr>
        <xdr:cNvPr id="167" name="Frame 166">
          <a:extLst>
            <a:ext uri="{FF2B5EF4-FFF2-40B4-BE49-F238E27FC236}">
              <a16:creationId xmlns:a16="http://schemas.microsoft.com/office/drawing/2014/main" id="{82330E1C-9188-4BBA-B812-995E98B076B1}"/>
            </a:ext>
          </a:extLst>
        </xdr:cNvPr>
        <xdr:cNvSpPr/>
      </xdr:nvSpPr>
      <xdr:spPr>
        <a:xfrm>
          <a:off x="0" y="8604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0</xdr:col>
      <xdr:colOff>323850</xdr:colOff>
      <xdr:row>510</xdr:row>
      <xdr:rowOff>120650</xdr:rowOff>
    </xdr:to>
    <xdr:sp macro="" textlink="">
      <xdr:nvSpPr>
        <xdr:cNvPr id="168" name="Frame 167">
          <a:extLst>
            <a:ext uri="{FF2B5EF4-FFF2-40B4-BE49-F238E27FC236}">
              <a16:creationId xmlns:a16="http://schemas.microsoft.com/office/drawing/2014/main" id="{A7FEA215-3128-45DB-B695-A878A693C25E}"/>
            </a:ext>
          </a:extLst>
        </xdr:cNvPr>
        <xdr:cNvSpPr/>
      </xdr:nvSpPr>
      <xdr:spPr>
        <a:xfrm>
          <a:off x="0" y="8641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0</xdr:col>
      <xdr:colOff>323850</xdr:colOff>
      <xdr:row>512</xdr:row>
      <xdr:rowOff>120650</xdr:rowOff>
    </xdr:to>
    <xdr:sp macro="" textlink="">
      <xdr:nvSpPr>
        <xdr:cNvPr id="169" name="Frame 168">
          <a:extLst>
            <a:ext uri="{FF2B5EF4-FFF2-40B4-BE49-F238E27FC236}">
              <a16:creationId xmlns:a16="http://schemas.microsoft.com/office/drawing/2014/main" id="{A301F105-5011-422F-8311-C7D5B446CF78}"/>
            </a:ext>
          </a:extLst>
        </xdr:cNvPr>
        <xdr:cNvSpPr/>
      </xdr:nvSpPr>
      <xdr:spPr>
        <a:xfrm>
          <a:off x="0" y="8678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513</xdr:row>
      <xdr:rowOff>0</xdr:rowOff>
    </xdr:from>
    <xdr:to>
      <xdr:col>0</xdr:col>
      <xdr:colOff>323850</xdr:colOff>
      <xdr:row>514</xdr:row>
      <xdr:rowOff>120650</xdr:rowOff>
    </xdr:to>
    <xdr:sp macro="" textlink="">
      <xdr:nvSpPr>
        <xdr:cNvPr id="170" name="Frame 169">
          <a:extLst>
            <a:ext uri="{FF2B5EF4-FFF2-40B4-BE49-F238E27FC236}">
              <a16:creationId xmlns:a16="http://schemas.microsoft.com/office/drawing/2014/main" id="{E58DC22F-7A27-4967-871E-C7CE3AB1E309}"/>
            </a:ext>
          </a:extLst>
        </xdr:cNvPr>
        <xdr:cNvSpPr/>
      </xdr:nvSpPr>
      <xdr:spPr>
        <a:xfrm>
          <a:off x="0" y="8715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528</xdr:row>
      <xdr:rowOff>0</xdr:rowOff>
    </xdr:from>
    <xdr:to>
      <xdr:col>0</xdr:col>
      <xdr:colOff>323850</xdr:colOff>
      <xdr:row>529</xdr:row>
      <xdr:rowOff>120650</xdr:rowOff>
    </xdr:to>
    <xdr:sp macro="" textlink="">
      <xdr:nvSpPr>
        <xdr:cNvPr id="173" name="Frame 172">
          <a:extLst>
            <a:ext uri="{FF2B5EF4-FFF2-40B4-BE49-F238E27FC236}">
              <a16:creationId xmlns:a16="http://schemas.microsoft.com/office/drawing/2014/main" id="{8CE2D9A0-CE1F-47C9-A397-98633670D001}"/>
            </a:ext>
          </a:extLst>
        </xdr:cNvPr>
        <xdr:cNvSpPr/>
      </xdr:nvSpPr>
      <xdr:spPr>
        <a:xfrm>
          <a:off x="0" y="90843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530</xdr:row>
      <xdr:rowOff>0</xdr:rowOff>
    </xdr:from>
    <xdr:to>
      <xdr:col>0</xdr:col>
      <xdr:colOff>323850</xdr:colOff>
      <xdr:row>531</xdr:row>
      <xdr:rowOff>120650</xdr:rowOff>
    </xdr:to>
    <xdr:sp macro="" textlink="">
      <xdr:nvSpPr>
        <xdr:cNvPr id="174" name="Frame 173">
          <a:extLst>
            <a:ext uri="{FF2B5EF4-FFF2-40B4-BE49-F238E27FC236}">
              <a16:creationId xmlns:a16="http://schemas.microsoft.com/office/drawing/2014/main" id="{77BD959A-BAD8-4657-A6AB-F38BB1A11CA5}"/>
            </a:ext>
          </a:extLst>
        </xdr:cNvPr>
        <xdr:cNvSpPr/>
      </xdr:nvSpPr>
      <xdr:spPr>
        <a:xfrm>
          <a:off x="0" y="9121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532</xdr:row>
      <xdr:rowOff>0</xdr:rowOff>
    </xdr:from>
    <xdr:to>
      <xdr:col>0</xdr:col>
      <xdr:colOff>323850</xdr:colOff>
      <xdr:row>533</xdr:row>
      <xdr:rowOff>120650</xdr:rowOff>
    </xdr:to>
    <xdr:sp macro="" textlink="">
      <xdr:nvSpPr>
        <xdr:cNvPr id="175" name="Frame 174">
          <a:extLst>
            <a:ext uri="{FF2B5EF4-FFF2-40B4-BE49-F238E27FC236}">
              <a16:creationId xmlns:a16="http://schemas.microsoft.com/office/drawing/2014/main" id="{EAF10730-4E2D-446F-9E26-AA6854E96706}"/>
            </a:ext>
          </a:extLst>
        </xdr:cNvPr>
        <xdr:cNvSpPr/>
      </xdr:nvSpPr>
      <xdr:spPr>
        <a:xfrm>
          <a:off x="0" y="9157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534</xdr:row>
      <xdr:rowOff>0</xdr:rowOff>
    </xdr:from>
    <xdr:to>
      <xdr:col>0</xdr:col>
      <xdr:colOff>323850</xdr:colOff>
      <xdr:row>535</xdr:row>
      <xdr:rowOff>120650</xdr:rowOff>
    </xdr:to>
    <xdr:sp macro="" textlink="">
      <xdr:nvSpPr>
        <xdr:cNvPr id="176" name="Frame 175">
          <a:extLst>
            <a:ext uri="{FF2B5EF4-FFF2-40B4-BE49-F238E27FC236}">
              <a16:creationId xmlns:a16="http://schemas.microsoft.com/office/drawing/2014/main" id="{A058A893-6220-4E87-ABA8-589B60B7C999}"/>
            </a:ext>
          </a:extLst>
        </xdr:cNvPr>
        <xdr:cNvSpPr/>
      </xdr:nvSpPr>
      <xdr:spPr>
        <a:xfrm>
          <a:off x="0" y="9194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536</xdr:row>
      <xdr:rowOff>0</xdr:rowOff>
    </xdr:from>
    <xdr:to>
      <xdr:col>0</xdr:col>
      <xdr:colOff>323850</xdr:colOff>
      <xdr:row>537</xdr:row>
      <xdr:rowOff>120650</xdr:rowOff>
    </xdr:to>
    <xdr:sp macro="" textlink="">
      <xdr:nvSpPr>
        <xdr:cNvPr id="177" name="Frame 176">
          <a:extLst>
            <a:ext uri="{FF2B5EF4-FFF2-40B4-BE49-F238E27FC236}">
              <a16:creationId xmlns:a16="http://schemas.microsoft.com/office/drawing/2014/main" id="{3DAD1883-9F04-4001-ACD5-82A09A9E8D08}"/>
            </a:ext>
          </a:extLst>
        </xdr:cNvPr>
        <xdr:cNvSpPr/>
      </xdr:nvSpPr>
      <xdr:spPr>
        <a:xfrm>
          <a:off x="0" y="9231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538</xdr:row>
      <xdr:rowOff>0</xdr:rowOff>
    </xdr:from>
    <xdr:to>
      <xdr:col>0</xdr:col>
      <xdr:colOff>323850</xdr:colOff>
      <xdr:row>539</xdr:row>
      <xdr:rowOff>120650</xdr:rowOff>
    </xdr:to>
    <xdr:sp macro="" textlink="">
      <xdr:nvSpPr>
        <xdr:cNvPr id="178" name="Frame 177">
          <a:extLst>
            <a:ext uri="{FF2B5EF4-FFF2-40B4-BE49-F238E27FC236}">
              <a16:creationId xmlns:a16="http://schemas.microsoft.com/office/drawing/2014/main" id="{6B5E400C-8433-4A19-BA7F-6E86BABACFC5}"/>
            </a:ext>
          </a:extLst>
        </xdr:cNvPr>
        <xdr:cNvSpPr/>
      </xdr:nvSpPr>
      <xdr:spPr>
        <a:xfrm>
          <a:off x="0" y="9268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0</xdr:col>
      <xdr:colOff>323850</xdr:colOff>
      <xdr:row>541</xdr:row>
      <xdr:rowOff>120650</xdr:rowOff>
    </xdr:to>
    <xdr:sp macro="" textlink="">
      <xdr:nvSpPr>
        <xdr:cNvPr id="179" name="Frame 178">
          <a:extLst>
            <a:ext uri="{FF2B5EF4-FFF2-40B4-BE49-F238E27FC236}">
              <a16:creationId xmlns:a16="http://schemas.microsoft.com/office/drawing/2014/main" id="{E2160D29-860E-45AB-8AEC-0A075C25478D}"/>
            </a:ext>
          </a:extLst>
        </xdr:cNvPr>
        <xdr:cNvSpPr/>
      </xdr:nvSpPr>
      <xdr:spPr>
        <a:xfrm>
          <a:off x="0" y="9305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542</xdr:row>
      <xdr:rowOff>0</xdr:rowOff>
    </xdr:from>
    <xdr:to>
      <xdr:col>0</xdr:col>
      <xdr:colOff>323850</xdr:colOff>
      <xdr:row>543</xdr:row>
      <xdr:rowOff>120650</xdr:rowOff>
    </xdr:to>
    <xdr:sp macro="" textlink="">
      <xdr:nvSpPr>
        <xdr:cNvPr id="180" name="Frame 179">
          <a:extLst>
            <a:ext uri="{FF2B5EF4-FFF2-40B4-BE49-F238E27FC236}">
              <a16:creationId xmlns:a16="http://schemas.microsoft.com/office/drawing/2014/main" id="{53FD432F-5CB7-44B7-8FD7-136C186133E8}"/>
            </a:ext>
          </a:extLst>
        </xdr:cNvPr>
        <xdr:cNvSpPr/>
      </xdr:nvSpPr>
      <xdr:spPr>
        <a:xfrm>
          <a:off x="0" y="93421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544</xdr:row>
      <xdr:rowOff>0</xdr:rowOff>
    </xdr:from>
    <xdr:to>
      <xdr:col>0</xdr:col>
      <xdr:colOff>323850</xdr:colOff>
      <xdr:row>545</xdr:row>
      <xdr:rowOff>120650</xdr:rowOff>
    </xdr:to>
    <xdr:sp macro="" textlink="">
      <xdr:nvSpPr>
        <xdr:cNvPr id="181" name="Frame 180">
          <a:extLst>
            <a:ext uri="{FF2B5EF4-FFF2-40B4-BE49-F238E27FC236}">
              <a16:creationId xmlns:a16="http://schemas.microsoft.com/office/drawing/2014/main" id="{C7F0D558-120C-4102-B7A2-0B6458C0043F}"/>
            </a:ext>
          </a:extLst>
        </xdr:cNvPr>
        <xdr:cNvSpPr/>
      </xdr:nvSpPr>
      <xdr:spPr>
        <a:xfrm>
          <a:off x="0" y="9378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0</xdr:col>
      <xdr:colOff>323850</xdr:colOff>
      <xdr:row>561</xdr:row>
      <xdr:rowOff>120650</xdr:rowOff>
    </xdr:to>
    <xdr:sp macro="" textlink="">
      <xdr:nvSpPr>
        <xdr:cNvPr id="183" name="Frame 182">
          <a:extLst>
            <a:ext uri="{FF2B5EF4-FFF2-40B4-BE49-F238E27FC236}">
              <a16:creationId xmlns:a16="http://schemas.microsoft.com/office/drawing/2014/main" id="{9457655E-3DD8-44FE-A654-262AB53CAED4}"/>
            </a:ext>
          </a:extLst>
        </xdr:cNvPr>
        <xdr:cNvSpPr/>
      </xdr:nvSpPr>
      <xdr:spPr>
        <a:xfrm>
          <a:off x="0" y="33147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323850</xdr:colOff>
      <xdr:row>563</xdr:row>
      <xdr:rowOff>120650</xdr:rowOff>
    </xdr:to>
    <xdr:sp macro="" textlink="">
      <xdr:nvSpPr>
        <xdr:cNvPr id="184" name="Frame 183">
          <a:extLst>
            <a:ext uri="{FF2B5EF4-FFF2-40B4-BE49-F238E27FC236}">
              <a16:creationId xmlns:a16="http://schemas.microsoft.com/office/drawing/2014/main" id="{27CF5428-ACF4-4EEC-8BD4-CB528C658CF7}"/>
            </a:ext>
          </a:extLst>
        </xdr:cNvPr>
        <xdr:cNvSpPr/>
      </xdr:nvSpPr>
      <xdr:spPr>
        <a:xfrm>
          <a:off x="0" y="33515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0</xdr:col>
      <xdr:colOff>323850</xdr:colOff>
      <xdr:row>565</xdr:row>
      <xdr:rowOff>120650</xdr:rowOff>
    </xdr:to>
    <xdr:sp macro="" textlink="">
      <xdr:nvSpPr>
        <xdr:cNvPr id="185" name="Frame 184">
          <a:extLst>
            <a:ext uri="{FF2B5EF4-FFF2-40B4-BE49-F238E27FC236}">
              <a16:creationId xmlns:a16="http://schemas.microsoft.com/office/drawing/2014/main" id="{45E5B470-CAE0-4D8F-A522-5E7101A4C517}"/>
            </a:ext>
          </a:extLst>
        </xdr:cNvPr>
        <xdr:cNvSpPr/>
      </xdr:nvSpPr>
      <xdr:spPr>
        <a:xfrm>
          <a:off x="0" y="33883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566</xdr:row>
      <xdr:rowOff>0</xdr:rowOff>
    </xdr:from>
    <xdr:to>
      <xdr:col>0</xdr:col>
      <xdr:colOff>323850</xdr:colOff>
      <xdr:row>567</xdr:row>
      <xdr:rowOff>120650</xdr:rowOff>
    </xdr:to>
    <xdr:sp macro="" textlink="">
      <xdr:nvSpPr>
        <xdr:cNvPr id="186" name="Frame 185">
          <a:extLst>
            <a:ext uri="{FF2B5EF4-FFF2-40B4-BE49-F238E27FC236}">
              <a16:creationId xmlns:a16="http://schemas.microsoft.com/office/drawing/2014/main" id="{3E89A823-35DF-4F4F-B4FF-027486944CB9}"/>
            </a:ext>
          </a:extLst>
        </xdr:cNvPr>
        <xdr:cNvSpPr/>
      </xdr:nvSpPr>
      <xdr:spPr>
        <a:xfrm>
          <a:off x="0" y="34251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581</xdr:row>
      <xdr:rowOff>0</xdr:rowOff>
    </xdr:from>
    <xdr:to>
      <xdr:col>0</xdr:col>
      <xdr:colOff>323850</xdr:colOff>
      <xdr:row>582</xdr:row>
      <xdr:rowOff>120650</xdr:rowOff>
    </xdr:to>
    <xdr:sp macro="" textlink="">
      <xdr:nvSpPr>
        <xdr:cNvPr id="195" name="Frame 194">
          <a:extLst>
            <a:ext uri="{FF2B5EF4-FFF2-40B4-BE49-F238E27FC236}">
              <a16:creationId xmlns:a16="http://schemas.microsoft.com/office/drawing/2014/main" id="{70013962-EF7D-42B9-87A0-5EBC5E002041}"/>
            </a:ext>
          </a:extLst>
        </xdr:cNvPr>
        <xdr:cNvSpPr/>
      </xdr:nvSpPr>
      <xdr:spPr>
        <a:xfrm>
          <a:off x="0" y="10319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583</xdr:row>
      <xdr:rowOff>0</xdr:rowOff>
    </xdr:from>
    <xdr:to>
      <xdr:col>0</xdr:col>
      <xdr:colOff>323850</xdr:colOff>
      <xdr:row>584</xdr:row>
      <xdr:rowOff>120650</xdr:rowOff>
    </xdr:to>
    <xdr:sp macro="" textlink="">
      <xdr:nvSpPr>
        <xdr:cNvPr id="196" name="Frame 195">
          <a:extLst>
            <a:ext uri="{FF2B5EF4-FFF2-40B4-BE49-F238E27FC236}">
              <a16:creationId xmlns:a16="http://schemas.microsoft.com/office/drawing/2014/main" id="{A6A3FB99-6909-4944-BCA5-95A1D3244544}"/>
            </a:ext>
          </a:extLst>
        </xdr:cNvPr>
        <xdr:cNvSpPr/>
      </xdr:nvSpPr>
      <xdr:spPr>
        <a:xfrm>
          <a:off x="0" y="10356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585</xdr:row>
      <xdr:rowOff>0</xdr:rowOff>
    </xdr:from>
    <xdr:to>
      <xdr:col>0</xdr:col>
      <xdr:colOff>323850</xdr:colOff>
      <xdr:row>586</xdr:row>
      <xdr:rowOff>120650</xdr:rowOff>
    </xdr:to>
    <xdr:sp macro="" textlink="">
      <xdr:nvSpPr>
        <xdr:cNvPr id="197" name="Frame 196">
          <a:extLst>
            <a:ext uri="{FF2B5EF4-FFF2-40B4-BE49-F238E27FC236}">
              <a16:creationId xmlns:a16="http://schemas.microsoft.com/office/drawing/2014/main" id="{4DF39291-36A1-494A-BC29-19103457D345}"/>
            </a:ext>
          </a:extLst>
        </xdr:cNvPr>
        <xdr:cNvSpPr/>
      </xdr:nvSpPr>
      <xdr:spPr>
        <a:xfrm>
          <a:off x="0" y="10393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600</xdr:row>
      <xdr:rowOff>0</xdr:rowOff>
    </xdr:from>
    <xdr:to>
      <xdr:col>0</xdr:col>
      <xdr:colOff>323850</xdr:colOff>
      <xdr:row>601</xdr:row>
      <xdr:rowOff>120650</xdr:rowOff>
    </xdr:to>
    <xdr:sp macro="" textlink="">
      <xdr:nvSpPr>
        <xdr:cNvPr id="199" name="Frame 198">
          <a:extLst>
            <a:ext uri="{FF2B5EF4-FFF2-40B4-BE49-F238E27FC236}">
              <a16:creationId xmlns:a16="http://schemas.microsoft.com/office/drawing/2014/main" id="{20D0C546-45CA-44D3-8635-3574713524DE}"/>
            </a:ext>
          </a:extLst>
        </xdr:cNvPr>
        <xdr:cNvSpPr/>
      </xdr:nvSpPr>
      <xdr:spPr>
        <a:xfrm>
          <a:off x="0" y="7668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602</xdr:row>
      <xdr:rowOff>0</xdr:rowOff>
    </xdr:from>
    <xdr:to>
      <xdr:col>0</xdr:col>
      <xdr:colOff>323850</xdr:colOff>
      <xdr:row>603</xdr:row>
      <xdr:rowOff>120650</xdr:rowOff>
    </xdr:to>
    <xdr:sp macro="" textlink="">
      <xdr:nvSpPr>
        <xdr:cNvPr id="200" name="Frame 199">
          <a:extLst>
            <a:ext uri="{FF2B5EF4-FFF2-40B4-BE49-F238E27FC236}">
              <a16:creationId xmlns:a16="http://schemas.microsoft.com/office/drawing/2014/main" id="{989129E2-430A-4149-88D0-2901695CCF5D}"/>
            </a:ext>
          </a:extLst>
        </xdr:cNvPr>
        <xdr:cNvSpPr/>
      </xdr:nvSpPr>
      <xdr:spPr>
        <a:xfrm>
          <a:off x="0" y="7705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0</xdr:col>
      <xdr:colOff>323850</xdr:colOff>
      <xdr:row>605</xdr:row>
      <xdr:rowOff>120650</xdr:rowOff>
    </xdr:to>
    <xdr:sp macro="" textlink="">
      <xdr:nvSpPr>
        <xdr:cNvPr id="201" name="Frame 200">
          <a:extLst>
            <a:ext uri="{FF2B5EF4-FFF2-40B4-BE49-F238E27FC236}">
              <a16:creationId xmlns:a16="http://schemas.microsoft.com/office/drawing/2014/main" id="{71152619-D55A-4E41-A27F-79FD420BE734}"/>
            </a:ext>
          </a:extLst>
        </xdr:cNvPr>
        <xdr:cNvSpPr/>
      </xdr:nvSpPr>
      <xdr:spPr>
        <a:xfrm>
          <a:off x="0" y="7741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606</xdr:row>
      <xdr:rowOff>0</xdr:rowOff>
    </xdr:from>
    <xdr:to>
      <xdr:col>0</xdr:col>
      <xdr:colOff>323850</xdr:colOff>
      <xdr:row>607</xdr:row>
      <xdr:rowOff>120650</xdr:rowOff>
    </xdr:to>
    <xdr:sp macro="" textlink="">
      <xdr:nvSpPr>
        <xdr:cNvPr id="202" name="Frame 201">
          <a:extLst>
            <a:ext uri="{FF2B5EF4-FFF2-40B4-BE49-F238E27FC236}">
              <a16:creationId xmlns:a16="http://schemas.microsoft.com/office/drawing/2014/main" id="{5F562806-C8E4-4E1B-AA08-850094892C11}"/>
            </a:ext>
          </a:extLst>
        </xdr:cNvPr>
        <xdr:cNvSpPr/>
      </xdr:nvSpPr>
      <xdr:spPr>
        <a:xfrm>
          <a:off x="0" y="77787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323850</xdr:colOff>
      <xdr:row>609</xdr:row>
      <xdr:rowOff>120650</xdr:rowOff>
    </xdr:to>
    <xdr:sp macro="" textlink="">
      <xdr:nvSpPr>
        <xdr:cNvPr id="203" name="Frame 202">
          <a:extLst>
            <a:ext uri="{FF2B5EF4-FFF2-40B4-BE49-F238E27FC236}">
              <a16:creationId xmlns:a16="http://schemas.microsoft.com/office/drawing/2014/main" id="{805D4745-7A04-41C4-A164-A2729998D897}"/>
            </a:ext>
          </a:extLst>
        </xdr:cNvPr>
        <xdr:cNvSpPr/>
      </xdr:nvSpPr>
      <xdr:spPr>
        <a:xfrm>
          <a:off x="0" y="78155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610</xdr:row>
      <xdr:rowOff>0</xdr:rowOff>
    </xdr:from>
    <xdr:to>
      <xdr:col>0</xdr:col>
      <xdr:colOff>323850</xdr:colOff>
      <xdr:row>611</xdr:row>
      <xdr:rowOff>120650</xdr:rowOff>
    </xdr:to>
    <xdr:sp macro="" textlink="">
      <xdr:nvSpPr>
        <xdr:cNvPr id="204" name="Frame 203">
          <a:extLst>
            <a:ext uri="{FF2B5EF4-FFF2-40B4-BE49-F238E27FC236}">
              <a16:creationId xmlns:a16="http://schemas.microsoft.com/office/drawing/2014/main" id="{0C712682-0C14-4095-8449-C966EBC8DB8A}"/>
            </a:ext>
          </a:extLst>
        </xdr:cNvPr>
        <xdr:cNvSpPr/>
      </xdr:nvSpPr>
      <xdr:spPr>
        <a:xfrm>
          <a:off x="0" y="78524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612</xdr:row>
      <xdr:rowOff>0</xdr:rowOff>
    </xdr:from>
    <xdr:to>
      <xdr:col>0</xdr:col>
      <xdr:colOff>323850</xdr:colOff>
      <xdr:row>613</xdr:row>
      <xdr:rowOff>120650</xdr:rowOff>
    </xdr:to>
    <xdr:sp macro="" textlink="">
      <xdr:nvSpPr>
        <xdr:cNvPr id="205" name="Frame 204">
          <a:extLst>
            <a:ext uri="{FF2B5EF4-FFF2-40B4-BE49-F238E27FC236}">
              <a16:creationId xmlns:a16="http://schemas.microsoft.com/office/drawing/2014/main" id="{83876791-7949-47DE-A241-39106B5ADDC3}"/>
            </a:ext>
          </a:extLst>
        </xdr:cNvPr>
        <xdr:cNvSpPr/>
      </xdr:nvSpPr>
      <xdr:spPr>
        <a:xfrm>
          <a:off x="0" y="7889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614</xdr:row>
      <xdr:rowOff>0</xdr:rowOff>
    </xdr:from>
    <xdr:to>
      <xdr:col>0</xdr:col>
      <xdr:colOff>323850</xdr:colOff>
      <xdr:row>615</xdr:row>
      <xdr:rowOff>120650</xdr:rowOff>
    </xdr:to>
    <xdr:sp macro="" textlink="">
      <xdr:nvSpPr>
        <xdr:cNvPr id="206" name="Frame 205">
          <a:extLst>
            <a:ext uri="{FF2B5EF4-FFF2-40B4-BE49-F238E27FC236}">
              <a16:creationId xmlns:a16="http://schemas.microsoft.com/office/drawing/2014/main" id="{73457F86-8BE6-450C-B360-447E210A11B2}"/>
            </a:ext>
          </a:extLst>
        </xdr:cNvPr>
        <xdr:cNvSpPr/>
      </xdr:nvSpPr>
      <xdr:spPr>
        <a:xfrm>
          <a:off x="0" y="7926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616</xdr:row>
      <xdr:rowOff>0</xdr:rowOff>
    </xdr:from>
    <xdr:to>
      <xdr:col>0</xdr:col>
      <xdr:colOff>323850</xdr:colOff>
      <xdr:row>617</xdr:row>
      <xdr:rowOff>120650</xdr:rowOff>
    </xdr:to>
    <xdr:sp macro="" textlink="">
      <xdr:nvSpPr>
        <xdr:cNvPr id="207" name="Frame 206">
          <a:extLst>
            <a:ext uri="{FF2B5EF4-FFF2-40B4-BE49-F238E27FC236}">
              <a16:creationId xmlns:a16="http://schemas.microsoft.com/office/drawing/2014/main" id="{693E76E7-7DA4-4B97-AD99-E5E355058B18}"/>
            </a:ext>
          </a:extLst>
        </xdr:cNvPr>
        <xdr:cNvSpPr/>
      </xdr:nvSpPr>
      <xdr:spPr>
        <a:xfrm>
          <a:off x="0" y="7962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618</xdr:row>
      <xdr:rowOff>0</xdr:rowOff>
    </xdr:from>
    <xdr:to>
      <xdr:col>0</xdr:col>
      <xdr:colOff>323850</xdr:colOff>
      <xdr:row>619</xdr:row>
      <xdr:rowOff>120650</xdr:rowOff>
    </xdr:to>
    <xdr:sp macro="" textlink="">
      <xdr:nvSpPr>
        <xdr:cNvPr id="208" name="Frame 207">
          <a:extLst>
            <a:ext uri="{FF2B5EF4-FFF2-40B4-BE49-F238E27FC236}">
              <a16:creationId xmlns:a16="http://schemas.microsoft.com/office/drawing/2014/main" id="{8BD93B03-CE56-40C0-9F03-F10F3D642737}"/>
            </a:ext>
          </a:extLst>
        </xdr:cNvPr>
        <xdr:cNvSpPr/>
      </xdr:nvSpPr>
      <xdr:spPr>
        <a:xfrm>
          <a:off x="0" y="7999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620</xdr:row>
      <xdr:rowOff>0</xdr:rowOff>
    </xdr:from>
    <xdr:to>
      <xdr:col>0</xdr:col>
      <xdr:colOff>323850</xdr:colOff>
      <xdr:row>621</xdr:row>
      <xdr:rowOff>120650</xdr:rowOff>
    </xdr:to>
    <xdr:sp macro="" textlink="">
      <xdr:nvSpPr>
        <xdr:cNvPr id="209" name="Frame 208">
          <a:extLst>
            <a:ext uri="{FF2B5EF4-FFF2-40B4-BE49-F238E27FC236}">
              <a16:creationId xmlns:a16="http://schemas.microsoft.com/office/drawing/2014/main" id="{943889D7-54DA-4181-B5B9-684923BE969D}"/>
            </a:ext>
          </a:extLst>
        </xdr:cNvPr>
        <xdr:cNvSpPr/>
      </xdr:nvSpPr>
      <xdr:spPr>
        <a:xfrm>
          <a:off x="0" y="8036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622</xdr:row>
      <xdr:rowOff>0</xdr:rowOff>
    </xdr:from>
    <xdr:to>
      <xdr:col>0</xdr:col>
      <xdr:colOff>323850</xdr:colOff>
      <xdr:row>623</xdr:row>
      <xdr:rowOff>120650</xdr:rowOff>
    </xdr:to>
    <xdr:sp macro="" textlink="">
      <xdr:nvSpPr>
        <xdr:cNvPr id="211" name="Frame 210">
          <a:extLst>
            <a:ext uri="{FF2B5EF4-FFF2-40B4-BE49-F238E27FC236}">
              <a16:creationId xmlns:a16="http://schemas.microsoft.com/office/drawing/2014/main" id="{E6960A8A-BADF-41CD-B79D-40B18A47D52A}"/>
            </a:ext>
          </a:extLst>
        </xdr:cNvPr>
        <xdr:cNvSpPr/>
      </xdr:nvSpPr>
      <xdr:spPr>
        <a:xfrm>
          <a:off x="0" y="114763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624</xdr:row>
      <xdr:rowOff>0</xdr:rowOff>
    </xdr:from>
    <xdr:to>
      <xdr:col>0</xdr:col>
      <xdr:colOff>323850</xdr:colOff>
      <xdr:row>625</xdr:row>
      <xdr:rowOff>120650</xdr:rowOff>
    </xdr:to>
    <xdr:sp macro="" textlink="">
      <xdr:nvSpPr>
        <xdr:cNvPr id="212" name="Frame 211">
          <a:extLst>
            <a:ext uri="{FF2B5EF4-FFF2-40B4-BE49-F238E27FC236}">
              <a16:creationId xmlns:a16="http://schemas.microsoft.com/office/drawing/2014/main" id="{EFBD1395-EB3A-4BB3-8671-2A072621B670}"/>
            </a:ext>
          </a:extLst>
        </xdr:cNvPr>
        <xdr:cNvSpPr/>
      </xdr:nvSpPr>
      <xdr:spPr>
        <a:xfrm>
          <a:off x="0" y="115131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0</xdr:col>
      <xdr:colOff>323850</xdr:colOff>
      <xdr:row>627</xdr:row>
      <xdr:rowOff>120650</xdr:rowOff>
    </xdr:to>
    <xdr:sp macro="" textlink="">
      <xdr:nvSpPr>
        <xdr:cNvPr id="213" name="Frame 212">
          <a:extLst>
            <a:ext uri="{FF2B5EF4-FFF2-40B4-BE49-F238E27FC236}">
              <a16:creationId xmlns:a16="http://schemas.microsoft.com/office/drawing/2014/main" id="{1BA8680C-EC7C-46A8-9AE0-ABE7658B9D56}"/>
            </a:ext>
          </a:extLst>
        </xdr:cNvPr>
        <xdr:cNvSpPr/>
      </xdr:nvSpPr>
      <xdr:spPr>
        <a:xfrm>
          <a:off x="0" y="115500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641</xdr:row>
      <xdr:rowOff>0</xdr:rowOff>
    </xdr:from>
    <xdr:to>
      <xdr:col>0</xdr:col>
      <xdr:colOff>323850</xdr:colOff>
      <xdr:row>642</xdr:row>
      <xdr:rowOff>120650</xdr:rowOff>
    </xdr:to>
    <xdr:sp macro="" textlink="">
      <xdr:nvSpPr>
        <xdr:cNvPr id="214" name="Frame 213">
          <a:extLst>
            <a:ext uri="{FF2B5EF4-FFF2-40B4-BE49-F238E27FC236}">
              <a16:creationId xmlns:a16="http://schemas.microsoft.com/office/drawing/2014/main" id="{9C893FD6-AEFA-4895-B422-73D4C65423BD}"/>
            </a:ext>
          </a:extLst>
        </xdr:cNvPr>
        <xdr:cNvSpPr/>
      </xdr:nvSpPr>
      <xdr:spPr>
        <a:xfrm>
          <a:off x="0" y="11071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643</xdr:row>
      <xdr:rowOff>0</xdr:rowOff>
    </xdr:from>
    <xdr:to>
      <xdr:col>0</xdr:col>
      <xdr:colOff>323850</xdr:colOff>
      <xdr:row>644</xdr:row>
      <xdr:rowOff>120650</xdr:rowOff>
    </xdr:to>
    <xdr:sp macro="" textlink="">
      <xdr:nvSpPr>
        <xdr:cNvPr id="215" name="Frame 214">
          <a:extLst>
            <a:ext uri="{FF2B5EF4-FFF2-40B4-BE49-F238E27FC236}">
              <a16:creationId xmlns:a16="http://schemas.microsoft.com/office/drawing/2014/main" id="{15E1C7C8-8C2D-4B04-A1D6-FED436D7B85A}"/>
            </a:ext>
          </a:extLst>
        </xdr:cNvPr>
        <xdr:cNvSpPr/>
      </xdr:nvSpPr>
      <xdr:spPr>
        <a:xfrm>
          <a:off x="0" y="11108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323850</xdr:colOff>
      <xdr:row>646</xdr:row>
      <xdr:rowOff>120650</xdr:rowOff>
    </xdr:to>
    <xdr:sp macro="" textlink="">
      <xdr:nvSpPr>
        <xdr:cNvPr id="216" name="Frame 215">
          <a:extLst>
            <a:ext uri="{FF2B5EF4-FFF2-40B4-BE49-F238E27FC236}">
              <a16:creationId xmlns:a16="http://schemas.microsoft.com/office/drawing/2014/main" id="{84DC6CA6-F4AD-47A0-99DA-EACF24FA6855}"/>
            </a:ext>
          </a:extLst>
        </xdr:cNvPr>
        <xdr:cNvSpPr/>
      </xdr:nvSpPr>
      <xdr:spPr>
        <a:xfrm>
          <a:off x="0" y="11144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647</xdr:row>
      <xdr:rowOff>0</xdr:rowOff>
    </xdr:from>
    <xdr:to>
      <xdr:col>0</xdr:col>
      <xdr:colOff>323850</xdr:colOff>
      <xdr:row>648</xdr:row>
      <xdr:rowOff>120650</xdr:rowOff>
    </xdr:to>
    <xdr:sp macro="" textlink="">
      <xdr:nvSpPr>
        <xdr:cNvPr id="217" name="Frame 216">
          <a:extLst>
            <a:ext uri="{FF2B5EF4-FFF2-40B4-BE49-F238E27FC236}">
              <a16:creationId xmlns:a16="http://schemas.microsoft.com/office/drawing/2014/main" id="{F1D35746-4D58-49C3-A53D-EEEA6E8FE045}"/>
            </a:ext>
          </a:extLst>
        </xdr:cNvPr>
        <xdr:cNvSpPr/>
      </xdr:nvSpPr>
      <xdr:spPr>
        <a:xfrm>
          <a:off x="0" y="11181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323850</xdr:colOff>
      <xdr:row>663</xdr:row>
      <xdr:rowOff>120650</xdr:rowOff>
    </xdr:to>
    <xdr:sp macro="" textlink="">
      <xdr:nvSpPr>
        <xdr:cNvPr id="228" name="Frame 227">
          <a:extLst>
            <a:ext uri="{FF2B5EF4-FFF2-40B4-BE49-F238E27FC236}">
              <a16:creationId xmlns:a16="http://schemas.microsoft.com/office/drawing/2014/main" id="{AF32E95D-7EB5-4C8C-86D5-FC37ED17ECF0}"/>
            </a:ext>
          </a:extLst>
        </xdr:cNvPr>
        <xdr:cNvSpPr/>
      </xdr:nvSpPr>
      <xdr:spPr>
        <a:xfrm>
          <a:off x="0" y="11071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664</xdr:row>
      <xdr:rowOff>0</xdr:rowOff>
    </xdr:from>
    <xdr:to>
      <xdr:col>0</xdr:col>
      <xdr:colOff>323850</xdr:colOff>
      <xdr:row>665</xdr:row>
      <xdr:rowOff>120650</xdr:rowOff>
    </xdr:to>
    <xdr:sp macro="" textlink="">
      <xdr:nvSpPr>
        <xdr:cNvPr id="229" name="Frame 228">
          <a:extLst>
            <a:ext uri="{FF2B5EF4-FFF2-40B4-BE49-F238E27FC236}">
              <a16:creationId xmlns:a16="http://schemas.microsoft.com/office/drawing/2014/main" id="{D7DEA067-1606-49BE-9C10-8F5B7F35922C}"/>
            </a:ext>
          </a:extLst>
        </xdr:cNvPr>
        <xdr:cNvSpPr/>
      </xdr:nvSpPr>
      <xdr:spPr>
        <a:xfrm>
          <a:off x="0" y="11108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666</xdr:row>
      <xdr:rowOff>0</xdr:rowOff>
    </xdr:from>
    <xdr:to>
      <xdr:col>0</xdr:col>
      <xdr:colOff>323850</xdr:colOff>
      <xdr:row>667</xdr:row>
      <xdr:rowOff>120650</xdr:rowOff>
    </xdr:to>
    <xdr:sp macro="" textlink="">
      <xdr:nvSpPr>
        <xdr:cNvPr id="230" name="Frame 229">
          <a:extLst>
            <a:ext uri="{FF2B5EF4-FFF2-40B4-BE49-F238E27FC236}">
              <a16:creationId xmlns:a16="http://schemas.microsoft.com/office/drawing/2014/main" id="{3F821443-3D5F-4EE8-B960-FD499E0C6A1E}"/>
            </a:ext>
          </a:extLst>
        </xdr:cNvPr>
        <xdr:cNvSpPr/>
      </xdr:nvSpPr>
      <xdr:spPr>
        <a:xfrm>
          <a:off x="0" y="11144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323850</xdr:colOff>
      <xdr:row>669</xdr:row>
      <xdr:rowOff>120650</xdr:rowOff>
    </xdr:to>
    <xdr:sp macro="" textlink="">
      <xdr:nvSpPr>
        <xdr:cNvPr id="231" name="Frame 230">
          <a:extLst>
            <a:ext uri="{FF2B5EF4-FFF2-40B4-BE49-F238E27FC236}">
              <a16:creationId xmlns:a16="http://schemas.microsoft.com/office/drawing/2014/main" id="{ECDCBB56-69F8-4763-8115-A9067F39C7C7}"/>
            </a:ext>
          </a:extLst>
        </xdr:cNvPr>
        <xdr:cNvSpPr/>
      </xdr:nvSpPr>
      <xdr:spPr>
        <a:xfrm>
          <a:off x="0" y="11181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670</xdr:row>
      <xdr:rowOff>0</xdr:rowOff>
    </xdr:from>
    <xdr:to>
      <xdr:col>0</xdr:col>
      <xdr:colOff>323850</xdr:colOff>
      <xdr:row>671</xdr:row>
      <xdr:rowOff>120650</xdr:rowOff>
    </xdr:to>
    <xdr:sp macro="" textlink="">
      <xdr:nvSpPr>
        <xdr:cNvPr id="232" name="Frame 231">
          <a:extLst>
            <a:ext uri="{FF2B5EF4-FFF2-40B4-BE49-F238E27FC236}">
              <a16:creationId xmlns:a16="http://schemas.microsoft.com/office/drawing/2014/main" id="{9D445A30-79C1-4611-9DC4-80AE6AC67530}"/>
            </a:ext>
          </a:extLst>
        </xdr:cNvPr>
        <xdr:cNvSpPr/>
      </xdr:nvSpPr>
      <xdr:spPr>
        <a:xfrm>
          <a:off x="0" y="11218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323850</xdr:colOff>
      <xdr:row>673</xdr:row>
      <xdr:rowOff>120650</xdr:rowOff>
    </xdr:to>
    <xdr:sp macro="" textlink="">
      <xdr:nvSpPr>
        <xdr:cNvPr id="233" name="Frame 232">
          <a:extLst>
            <a:ext uri="{FF2B5EF4-FFF2-40B4-BE49-F238E27FC236}">
              <a16:creationId xmlns:a16="http://schemas.microsoft.com/office/drawing/2014/main" id="{9D07B6D1-C65E-4D68-A770-BC8E868682BC}"/>
            </a:ext>
          </a:extLst>
        </xdr:cNvPr>
        <xdr:cNvSpPr/>
      </xdr:nvSpPr>
      <xdr:spPr>
        <a:xfrm>
          <a:off x="0" y="11255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687</xdr:row>
      <xdr:rowOff>0</xdr:rowOff>
    </xdr:from>
    <xdr:to>
      <xdr:col>0</xdr:col>
      <xdr:colOff>323850</xdr:colOff>
      <xdr:row>688</xdr:row>
      <xdr:rowOff>120650</xdr:rowOff>
    </xdr:to>
    <xdr:sp macro="" textlink="">
      <xdr:nvSpPr>
        <xdr:cNvPr id="192" name="Frame 191">
          <a:extLst>
            <a:ext uri="{FF2B5EF4-FFF2-40B4-BE49-F238E27FC236}">
              <a16:creationId xmlns:a16="http://schemas.microsoft.com/office/drawing/2014/main" id="{5618D095-F56F-446E-A1F1-215168ADA1A9}"/>
            </a:ext>
          </a:extLst>
        </xdr:cNvPr>
        <xdr:cNvSpPr/>
      </xdr:nvSpPr>
      <xdr:spPr>
        <a:xfrm>
          <a:off x="0" y="6710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689</xdr:row>
      <xdr:rowOff>0</xdr:rowOff>
    </xdr:from>
    <xdr:to>
      <xdr:col>0</xdr:col>
      <xdr:colOff>323850</xdr:colOff>
      <xdr:row>690</xdr:row>
      <xdr:rowOff>120650</xdr:rowOff>
    </xdr:to>
    <xdr:sp macro="" textlink="">
      <xdr:nvSpPr>
        <xdr:cNvPr id="193" name="Frame 192">
          <a:extLst>
            <a:ext uri="{FF2B5EF4-FFF2-40B4-BE49-F238E27FC236}">
              <a16:creationId xmlns:a16="http://schemas.microsoft.com/office/drawing/2014/main" id="{9F482C68-D951-47F1-BAE6-B687B7D69121}"/>
            </a:ext>
          </a:extLst>
        </xdr:cNvPr>
        <xdr:cNvSpPr/>
      </xdr:nvSpPr>
      <xdr:spPr>
        <a:xfrm>
          <a:off x="0" y="67475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691</xdr:row>
      <xdr:rowOff>0</xdr:rowOff>
    </xdr:from>
    <xdr:to>
      <xdr:col>0</xdr:col>
      <xdr:colOff>323850</xdr:colOff>
      <xdr:row>692</xdr:row>
      <xdr:rowOff>120650</xdr:rowOff>
    </xdr:to>
    <xdr:sp macro="" textlink="">
      <xdr:nvSpPr>
        <xdr:cNvPr id="194" name="Frame 193">
          <a:extLst>
            <a:ext uri="{FF2B5EF4-FFF2-40B4-BE49-F238E27FC236}">
              <a16:creationId xmlns:a16="http://schemas.microsoft.com/office/drawing/2014/main" id="{736D49D3-2F9C-49FA-9A05-453C5E82E8A2}"/>
            </a:ext>
          </a:extLst>
        </xdr:cNvPr>
        <xdr:cNvSpPr/>
      </xdr:nvSpPr>
      <xdr:spPr>
        <a:xfrm>
          <a:off x="0" y="67843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693</xdr:row>
      <xdr:rowOff>0</xdr:rowOff>
    </xdr:from>
    <xdr:to>
      <xdr:col>0</xdr:col>
      <xdr:colOff>323850</xdr:colOff>
      <xdr:row>694</xdr:row>
      <xdr:rowOff>120650</xdr:rowOff>
    </xdr:to>
    <xdr:sp macro="" textlink="">
      <xdr:nvSpPr>
        <xdr:cNvPr id="198" name="Frame 197">
          <a:extLst>
            <a:ext uri="{FF2B5EF4-FFF2-40B4-BE49-F238E27FC236}">
              <a16:creationId xmlns:a16="http://schemas.microsoft.com/office/drawing/2014/main" id="{93E56F28-0528-44AD-BAE6-15CBF52DBDFF}"/>
            </a:ext>
          </a:extLst>
        </xdr:cNvPr>
        <xdr:cNvSpPr/>
      </xdr:nvSpPr>
      <xdr:spPr>
        <a:xfrm>
          <a:off x="0" y="68211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695</xdr:row>
      <xdr:rowOff>0</xdr:rowOff>
    </xdr:from>
    <xdr:to>
      <xdr:col>0</xdr:col>
      <xdr:colOff>323850</xdr:colOff>
      <xdr:row>696</xdr:row>
      <xdr:rowOff>120650</xdr:rowOff>
    </xdr:to>
    <xdr:sp macro="" textlink="">
      <xdr:nvSpPr>
        <xdr:cNvPr id="210" name="Frame 209">
          <a:extLst>
            <a:ext uri="{FF2B5EF4-FFF2-40B4-BE49-F238E27FC236}">
              <a16:creationId xmlns:a16="http://schemas.microsoft.com/office/drawing/2014/main" id="{9C22B3AB-C20E-41A3-94EA-32159755C8D4}"/>
            </a:ext>
          </a:extLst>
        </xdr:cNvPr>
        <xdr:cNvSpPr/>
      </xdr:nvSpPr>
      <xdr:spPr>
        <a:xfrm>
          <a:off x="0" y="68580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697</xdr:row>
      <xdr:rowOff>0</xdr:rowOff>
    </xdr:from>
    <xdr:to>
      <xdr:col>0</xdr:col>
      <xdr:colOff>323850</xdr:colOff>
      <xdr:row>698</xdr:row>
      <xdr:rowOff>120650</xdr:rowOff>
    </xdr:to>
    <xdr:sp macro="" textlink="">
      <xdr:nvSpPr>
        <xdr:cNvPr id="218" name="Frame 217">
          <a:extLst>
            <a:ext uri="{FF2B5EF4-FFF2-40B4-BE49-F238E27FC236}">
              <a16:creationId xmlns:a16="http://schemas.microsoft.com/office/drawing/2014/main" id="{05FF11F3-F9B8-48C9-882C-3C3DA39CE369}"/>
            </a:ext>
          </a:extLst>
        </xdr:cNvPr>
        <xdr:cNvSpPr/>
      </xdr:nvSpPr>
      <xdr:spPr>
        <a:xfrm>
          <a:off x="0" y="68948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323850</xdr:colOff>
      <xdr:row>700</xdr:row>
      <xdr:rowOff>120650</xdr:rowOff>
    </xdr:to>
    <xdr:sp macro="" textlink="">
      <xdr:nvSpPr>
        <xdr:cNvPr id="219" name="Frame 218">
          <a:extLst>
            <a:ext uri="{FF2B5EF4-FFF2-40B4-BE49-F238E27FC236}">
              <a16:creationId xmlns:a16="http://schemas.microsoft.com/office/drawing/2014/main" id="{CB7D6597-0E4C-47ED-9225-2A766ACAE5E3}"/>
            </a:ext>
          </a:extLst>
        </xdr:cNvPr>
        <xdr:cNvSpPr/>
      </xdr:nvSpPr>
      <xdr:spPr>
        <a:xfrm>
          <a:off x="0" y="69316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701</xdr:row>
      <xdr:rowOff>0</xdr:rowOff>
    </xdr:from>
    <xdr:to>
      <xdr:col>0</xdr:col>
      <xdr:colOff>323850</xdr:colOff>
      <xdr:row>702</xdr:row>
      <xdr:rowOff>120650</xdr:rowOff>
    </xdr:to>
    <xdr:sp macro="" textlink="">
      <xdr:nvSpPr>
        <xdr:cNvPr id="221" name="Frame 220">
          <a:extLst>
            <a:ext uri="{FF2B5EF4-FFF2-40B4-BE49-F238E27FC236}">
              <a16:creationId xmlns:a16="http://schemas.microsoft.com/office/drawing/2014/main" id="{FF4DEC8F-FE2B-4D88-B5BA-4219BC9D0677}"/>
            </a:ext>
          </a:extLst>
        </xdr:cNvPr>
        <xdr:cNvSpPr/>
      </xdr:nvSpPr>
      <xdr:spPr>
        <a:xfrm>
          <a:off x="0" y="12983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703</xdr:row>
      <xdr:rowOff>0</xdr:rowOff>
    </xdr:from>
    <xdr:to>
      <xdr:col>0</xdr:col>
      <xdr:colOff>323850</xdr:colOff>
      <xdr:row>704</xdr:row>
      <xdr:rowOff>120650</xdr:rowOff>
    </xdr:to>
    <xdr:sp macro="" textlink="">
      <xdr:nvSpPr>
        <xdr:cNvPr id="222" name="Frame 221">
          <a:extLst>
            <a:ext uri="{FF2B5EF4-FFF2-40B4-BE49-F238E27FC236}">
              <a16:creationId xmlns:a16="http://schemas.microsoft.com/office/drawing/2014/main" id="{A2A077B1-0980-4328-AF0A-4A18370F06A6}"/>
            </a:ext>
          </a:extLst>
        </xdr:cNvPr>
        <xdr:cNvSpPr/>
      </xdr:nvSpPr>
      <xdr:spPr>
        <a:xfrm>
          <a:off x="0" y="13020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323850</xdr:colOff>
      <xdr:row>165</xdr:row>
      <xdr:rowOff>120650</xdr:rowOff>
    </xdr:to>
    <xdr:sp macro="" textlink="">
      <xdr:nvSpPr>
        <xdr:cNvPr id="10" name="Frame 66">
          <a:extLst>
            <a:ext uri="{FF2B5EF4-FFF2-40B4-BE49-F238E27FC236}">
              <a16:creationId xmlns:a16="http://schemas.microsoft.com/office/drawing/2014/main" id="{44AC93C2-3B30-40B3-A7D4-784EBD42FF8B}"/>
            </a:ext>
            <a:ext uri="{147F2762-F138-4A5C-976F-8EAC2B608ADB}">
              <a16:predDERef xmlns:a16="http://schemas.microsoft.com/office/drawing/2014/main" pred="{A2A077B1-0980-4328-AF0A-4A18370F06A6}"/>
            </a:ext>
          </a:extLst>
        </xdr:cNvPr>
        <xdr:cNvSpPr/>
      </xdr:nvSpPr>
      <xdr:spPr>
        <a:xfrm>
          <a:off x="0" y="325374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323850</xdr:colOff>
      <xdr:row>28</xdr:row>
      <xdr:rowOff>120650</xdr:rowOff>
    </xdr:to>
    <xdr:sp macro="" textlink="">
      <xdr:nvSpPr>
        <xdr:cNvPr id="11" name="Frame 16">
          <a:extLst>
            <a:ext uri="{FF2B5EF4-FFF2-40B4-BE49-F238E27FC236}">
              <a16:creationId xmlns:a16="http://schemas.microsoft.com/office/drawing/2014/main" id="{DBC4C072-2692-4092-B557-3C3E130C3248}"/>
            </a:ext>
            <a:ext uri="{147F2762-F138-4A5C-976F-8EAC2B608ADB}">
              <a16:predDERef xmlns:a16="http://schemas.microsoft.com/office/drawing/2014/main" pred="{44AC93C2-3B30-40B3-A7D4-784EBD42FF8B}"/>
            </a:ext>
          </a:extLst>
        </xdr:cNvPr>
        <xdr:cNvSpPr/>
      </xdr:nvSpPr>
      <xdr:spPr>
        <a:xfrm>
          <a:off x="0" y="52863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D27DABDF-AEB4-419D-A5B4-5B3AD24AB5C5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042F8159-E8D3-4197-A8AE-17E60280EA83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127000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BAA193F6-70C9-4867-BE69-9AA2A22314D5}"/>
            </a:ext>
          </a:extLst>
        </xdr:cNvPr>
        <xdr:cNvSpPr/>
      </xdr:nvSpPr>
      <xdr:spPr>
        <a:xfrm>
          <a:off x="0" y="14541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323850</xdr:colOff>
      <xdr:row>39</xdr:row>
      <xdr:rowOff>127000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01B6C71C-152A-48C5-9940-E2A5B069BCDC}"/>
            </a:ext>
          </a:extLst>
        </xdr:cNvPr>
        <xdr:cNvSpPr/>
      </xdr:nvSpPr>
      <xdr:spPr>
        <a:xfrm>
          <a:off x="0" y="71691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323850</xdr:colOff>
      <xdr:row>41</xdr:row>
      <xdr:rowOff>127000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CCE6F7DF-BA74-4B61-B29D-8260527AF7E4}"/>
            </a:ext>
          </a:extLst>
        </xdr:cNvPr>
        <xdr:cNvSpPr/>
      </xdr:nvSpPr>
      <xdr:spPr>
        <a:xfrm>
          <a:off x="0" y="7537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323850</xdr:colOff>
      <xdr:row>35</xdr:row>
      <xdr:rowOff>120650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35DA7308-AD83-47C2-9CAC-6E0A10A4E231}"/>
            </a:ext>
          </a:extLst>
        </xdr:cNvPr>
        <xdr:cNvSpPr/>
      </xdr:nvSpPr>
      <xdr:spPr>
        <a:xfrm>
          <a:off x="0" y="643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61</xdr:row>
      <xdr:rowOff>177800</xdr:rowOff>
    </xdr:from>
    <xdr:to>
      <xdr:col>0</xdr:col>
      <xdr:colOff>330200</xdr:colOff>
      <xdr:row>63</xdr:row>
      <xdr:rowOff>114300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0734DE4F-B602-464B-B54B-E766AFB1EC22}"/>
            </a:ext>
          </a:extLst>
        </xdr:cNvPr>
        <xdr:cNvSpPr/>
      </xdr:nvSpPr>
      <xdr:spPr>
        <a:xfrm>
          <a:off x="6350" y="6047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323850</xdr:colOff>
      <xdr:row>65</xdr:row>
      <xdr:rowOff>120650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E9FC0E82-D4B9-442E-BA69-47EA040E0154}"/>
            </a:ext>
          </a:extLst>
        </xdr:cNvPr>
        <xdr:cNvSpPr/>
      </xdr:nvSpPr>
      <xdr:spPr>
        <a:xfrm>
          <a:off x="0" y="6084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323850</xdr:colOff>
      <xdr:row>67</xdr:row>
      <xdr:rowOff>120650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15720472-FA9F-4040-999D-AB20E819D145}"/>
            </a:ext>
          </a:extLst>
        </xdr:cNvPr>
        <xdr:cNvSpPr/>
      </xdr:nvSpPr>
      <xdr:spPr>
        <a:xfrm>
          <a:off x="0" y="6121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323850</xdr:colOff>
      <xdr:row>69</xdr:row>
      <xdr:rowOff>120650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3CDCB908-7D22-4EB1-8050-8B4D099ADD94}"/>
            </a:ext>
          </a:extLst>
        </xdr:cNvPr>
        <xdr:cNvSpPr/>
      </xdr:nvSpPr>
      <xdr:spPr>
        <a:xfrm>
          <a:off x="0" y="6158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323850</xdr:colOff>
      <xdr:row>71</xdr:row>
      <xdr:rowOff>120650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CC04DE4B-1720-4ACD-A923-9FFC2BE2E675}"/>
            </a:ext>
          </a:extLst>
        </xdr:cNvPr>
        <xdr:cNvSpPr/>
      </xdr:nvSpPr>
      <xdr:spPr>
        <a:xfrm>
          <a:off x="0" y="6195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323850</xdr:colOff>
      <xdr:row>73</xdr:row>
      <xdr:rowOff>120650</xdr:rowOff>
    </xdr:to>
    <xdr:sp macro="" textlink="">
      <xdr:nvSpPr>
        <xdr:cNvPr id="46" name="Frame 45">
          <a:extLst>
            <a:ext uri="{FF2B5EF4-FFF2-40B4-BE49-F238E27FC236}">
              <a16:creationId xmlns:a16="http://schemas.microsoft.com/office/drawing/2014/main" id="{B0E0E06C-C08B-429A-BD05-529E00432D3B}"/>
            </a:ext>
          </a:extLst>
        </xdr:cNvPr>
        <xdr:cNvSpPr/>
      </xdr:nvSpPr>
      <xdr:spPr>
        <a:xfrm>
          <a:off x="0" y="6231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323850</xdr:colOff>
      <xdr:row>75</xdr:row>
      <xdr:rowOff>120650</xdr:rowOff>
    </xdr:to>
    <xdr:sp macro="" textlink="">
      <xdr:nvSpPr>
        <xdr:cNvPr id="47" name="Frame 46">
          <a:extLst>
            <a:ext uri="{FF2B5EF4-FFF2-40B4-BE49-F238E27FC236}">
              <a16:creationId xmlns:a16="http://schemas.microsoft.com/office/drawing/2014/main" id="{D8E9E824-C83E-4AA7-A995-C64FC1201D08}"/>
            </a:ext>
          </a:extLst>
        </xdr:cNvPr>
        <xdr:cNvSpPr/>
      </xdr:nvSpPr>
      <xdr:spPr>
        <a:xfrm>
          <a:off x="0" y="6268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323850</xdr:colOff>
      <xdr:row>77</xdr:row>
      <xdr:rowOff>120650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DF8FACF4-D549-4FC8-9AA1-EFD3C25CCFC4}"/>
            </a:ext>
          </a:extLst>
        </xdr:cNvPr>
        <xdr:cNvSpPr/>
      </xdr:nvSpPr>
      <xdr:spPr>
        <a:xfrm>
          <a:off x="0" y="6305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323850</xdr:colOff>
      <xdr:row>79</xdr:row>
      <xdr:rowOff>120650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4DBE030F-0EC7-4572-BFE1-58D674D6CE40}"/>
            </a:ext>
          </a:extLst>
        </xdr:cNvPr>
        <xdr:cNvSpPr/>
      </xdr:nvSpPr>
      <xdr:spPr>
        <a:xfrm>
          <a:off x="0" y="63423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323850</xdr:colOff>
      <xdr:row>81</xdr:row>
      <xdr:rowOff>120650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E2C13863-8DA3-48BB-9DC5-2753781E21A9}"/>
            </a:ext>
          </a:extLst>
        </xdr:cNvPr>
        <xdr:cNvSpPr/>
      </xdr:nvSpPr>
      <xdr:spPr>
        <a:xfrm>
          <a:off x="0" y="6379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99</xdr:row>
      <xdr:rowOff>177800</xdr:rowOff>
    </xdr:from>
    <xdr:to>
      <xdr:col>0</xdr:col>
      <xdr:colOff>330200</xdr:colOff>
      <xdr:row>101</xdr:row>
      <xdr:rowOff>114300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8A03174F-A31A-4AB2-9AD7-65969D9C5256}"/>
            </a:ext>
          </a:extLst>
        </xdr:cNvPr>
        <xdr:cNvSpPr/>
      </xdr:nvSpPr>
      <xdr:spPr>
        <a:xfrm>
          <a:off x="6350" y="1157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323850</xdr:colOff>
      <xdr:row>103</xdr:row>
      <xdr:rowOff>120650</xdr:rowOff>
    </xdr:to>
    <xdr:sp macro="" textlink="">
      <xdr:nvSpPr>
        <xdr:cNvPr id="53" name="Frame 52">
          <a:extLst>
            <a:ext uri="{FF2B5EF4-FFF2-40B4-BE49-F238E27FC236}">
              <a16:creationId xmlns:a16="http://schemas.microsoft.com/office/drawing/2014/main" id="{EE1A64F7-4FCB-469C-B731-7E1F36D0B1DB}"/>
            </a:ext>
          </a:extLst>
        </xdr:cNvPr>
        <xdr:cNvSpPr/>
      </xdr:nvSpPr>
      <xdr:spPr>
        <a:xfrm>
          <a:off x="0" y="1195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323850</xdr:colOff>
      <xdr:row>105</xdr:row>
      <xdr:rowOff>120650</xdr:rowOff>
    </xdr:to>
    <xdr:sp macro="" textlink="">
      <xdr:nvSpPr>
        <xdr:cNvPr id="54" name="Frame 53">
          <a:extLst>
            <a:ext uri="{FF2B5EF4-FFF2-40B4-BE49-F238E27FC236}">
              <a16:creationId xmlns:a16="http://schemas.microsoft.com/office/drawing/2014/main" id="{1B7BB333-7A93-4C78-B212-A94DD5886458}"/>
            </a:ext>
          </a:extLst>
        </xdr:cNvPr>
        <xdr:cNvSpPr/>
      </xdr:nvSpPr>
      <xdr:spPr>
        <a:xfrm>
          <a:off x="0" y="1231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323850</xdr:colOff>
      <xdr:row>107</xdr:row>
      <xdr:rowOff>120650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B4256FC0-43EB-4696-91FD-08C4CD7E274C}"/>
            </a:ext>
          </a:extLst>
        </xdr:cNvPr>
        <xdr:cNvSpPr/>
      </xdr:nvSpPr>
      <xdr:spPr>
        <a:xfrm>
          <a:off x="0" y="1268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323850</xdr:colOff>
      <xdr:row>109</xdr:row>
      <xdr:rowOff>120650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5DE48E93-5B76-4128-B4A0-991CAD780C9D}"/>
            </a:ext>
          </a:extLst>
        </xdr:cNvPr>
        <xdr:cNvSpPr/>
      </xdr:nvSpPr>
      <xdr:spPr>
        <a:xfrm>
          <a:off x="0" y="1305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323850</xdr:colOff>
      <xdr:row>111</xdr:row>
      <xdr:rowOff>120650</xdr:rowOff>
    </xdr:to>
    <xdr:sp macro="" textlink="">
      <xdr:nvSpPr>
        <xdr:cNvPr id="57" name="Frame 56">
          <a:extLst>
            <a:ext uri="{FF2B5EF4-FFF2-40B4-BE49-F238E27FC236}">
              <a16:creationId xmlns:a16="http://schemas.microsoft.com/office/drawing/2014/main" id="{6F6FDEAA-3A5E-4AC0-9671-B8EAB6070CFE}"/>
            </a:ext>
          </a:extLst>
        </xdr:cNvPr>
        <xdr:cNvSpPr/>
      </xdr:nvSpPr>
      <xdr:spPr>
        <a:xfrm>
          <a:off x="0" y="1342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323850</xdr:colOff>
      <xdr:row>113</xdr:row>
      <xdr:rowOff>120650</xdr:rowOff>
    </xdr:to>
    <xdr:sp macro="" textlink="">
      <xdr:nvSpPr>
        <xdr:cNvPr id="58" name="Frame 57">
          <a:extLst>
            <a:ext uri="{FF2B5EF4-FFF2-40B4-BE49-F238E27FC236}">
              <a16:creationId xmlns:a16="http://schemas.microsoft.com/office/drawing/2014/main" id="{E9CB1C57-E8A4-4605-9335-254CA7E9B680}"/>
            </a:ext>
          </a:extLst>
        </xdr:cNvPr>
        <xdr:cNvSpPr/>
      </xdr:nvSpPr>
      <xdr:spPr>
        <a:xfrm>
          <a:off x="0" y="1379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323850</xdr:colOff>
      <xdr:row>115</xdr:row>
      <xdr:rowOff>120650</xdr:rowOff>
    </xdr:to>
    <xdr:sp macro="" textlink="">
      <xdr:nvSpPr>
        <xdr:cNvPr id="59" name="Frame 58">
          <a:extLst>
            <a:ext uri="{FF2B5EF4-FFF2-40B4-BE49-F238E27FC236}">
              <a16:creationId xmlns:a16="http://schemas.microsoft.com/office/drawing/2014/main" id="{4A941279-759E-4264-A8AA-570484068371}"/>
            </a:ext>
          </a:extLst>
        </xdr:cNvPr>
        <xdr:cNvSpPr/>
      </xdr:nvSpPr>
      <xdr:spPr>
        <a:xfrm>
          <a:off x="0" y="1416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323850</xdr:colOff>
      <xdr:row>117</xdr:row>
      <xdr:rowOff>120650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9FB0684C-21C7-4AB4-9EC6-CC46F5782C03}"/>
            </a:ext>
          </a:extLst>
        </xdr:cNvPr>
        <xdr:cNvSpPr/>
      </xdr:nvSpPr>
      <xdr:spPr>
        <a:xfrm>
          <a:off x="0" y="1452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090F8158-B32C-44AF-AAC6-2302B08CCC2C}"/>
            </a:ext>
          </a:extLst>
        </xdr:cNvPr>
        <xdr:cNvSpPr/>
      </xdr:nvSpPr>
      <xdr:spPr>
        <a:xfrm>
          <a:off x="0" y="1489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323850</xdr:colOff>
      <xdr:row>135</xdr:row>
      <xdr:rowOff>120650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DCE218D8-0299-4350-A769-CD9C9552F14D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323850</xdr:colOff>
      <xdr:row>135</xdr:row>
      <xdr:rowOff>120650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36D0ADD1-2AAE-4307-A2F6-555A05830080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323850</xdr:colOff>
      <xdr:row>137</xdr:row>
      <xdr:rowOff>127000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82069C28-8D0A-4F08-A6A3-9EA5505FCD4F}"/>
            </a:ext>
          </a:extLst>
        </xdr:cNvPr>
        <xdr:cNvSpPr/>
      </xdr:nvSpPr>
      <xdr:spPr>
        <a:xfrm>
          <a:off x="0" y="14541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323850</xdr:colOff>
      <xdr:row>156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F781A310-EBD9-4279-A4F3-B7D429B79D7F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323850</xdr:colOff>
      <xdr:row>156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3BBBD42E-AEA6-453A-8DC8-54CA71FA9D22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323850</xdr:colOff>
      <xdr:row>158</xdr:row>
      <xdr:rowOff>127000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D29BC0E8-FABE-4B48-8CE4-C61335000EA8}"/>
            </a:ext>
          </a:extLst>
        </xdr:cNvPr>
        <xdr:cNvSpPr/>
      </xdr:nvSpPr>
      <xdr:spPr>
        <a:xfrm>
          <a:off x="0" y="14541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323850</xdr:colOff>
      <xdr:row>160</xdr:row>
      <xdr:rowOff>127000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A61F609C-D4CA-42D8-AB70-24CB4426D06A}"/>
            </a:ext>
          </a:extLst>
        </xdr:cNvPr>
        <xdr:cNvSpPr/>
      </xdr:nvSpPr>
      <xdr:spPr>
        <a:xfrm>
          <a:off x="0" y="290830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323850</xdr:colOff>
      <xdr:row>162</xdr:row>
      <xdr:rowOff>127000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F8B743B3-1C0D-4817-B8DF-1F1FD3FA32CA}"/>
            </a:ext>
          </a:extLst>
        </xdr:cNvPr>
        <xdr:cNvSpPr/>
      </xdr:nvSpPr>
      <xdr:spPr>
        <a:xfrm>
          <a:off x="0" y="294513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183</xdr:row>
      <xdr:rowOff>177800</xdr:rowOff>
    </xdr:from>
    <xdr:to>
      <xdr:col>0</xdr:col>
      <xdr:colOff>330200</xdr:colOff>
      <xdr:row>185</xdr:row>
      <xdr:rowOff>114300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D61C5422-A198-4A81-B898-080878CCB034}"/>
            </a:ext>
          </a:extLst>
        </xdr:cNvPr>
        <xdr:cNvSpPr/>
      </xdr:nvSpPr>
      <xdr:spPr>
        <a:xfrm>
          <a:off x="6350" y="1157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323850</xdr:colOff>
      <xdr:row>187</xdr:row>
      <xdr:rowOff>120650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C3E0FD1B-3847-4F28-9464-DCF016468849}"/>
            </a:ext>
          </a:extLst>
        </xdr:cNvPr>
        <xdr:cNvSpPr/>
      </xdr:nvSpPr>
      <xdr:spPr>
        <a:xfrm>
          <a:off x="0" y="1195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323850</xdr:colOff>
      <xdr:row>189</xdr:row>
      <xdr:rowOff>120650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D7BFFD7C-169C-406A-83EE-32B348F0DCD9}"/>
            </a:ext>
          </a:extLst>
        </xdr:cNvPr>
        <xdr:cNvSpPr/>
      </xdr:nvSpPr>
      <xdr:spPr>
        <a:xfrm>
          <a:off x="0" y="1231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323850</xdr:colOff>
      <xdr:row>191</xdr:row>
      <xdr:rowOff>120650</xdr:rowOff>
    </xdr:to>
    <xdr:sp macro="" textlink="">
      <xdr:nvSpPr>
        <xdr:cNvPr id="40" name="Frame 39">
          <a:extLst>
            <a:ext uri="{FF2B5EF4-FFF2-40B4-BE49-F238E27FC236}">
              <a16:creationId xmlns:a16="http://schemas.microsoft.com/office/drawing/2014/main" id="{1AA4865D-AB64-43D1-89DC-369654A78A70}"/>
            </a:ext>
          </a:extLst>
        </xdr:cNvPr>
        <xdr:cNvSpPr/>
      </xdr:nvSpPr>
      <xdr:spPr>
        <a:xfrm>
          <a:off x="0" y="1268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323850</xdr:colOff>
      <xdr:row>193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7FBD2101-FF88-44DF-97D0-552FED8326F1}"/>
            </a:ext>
          </a:extLst>
        </xdr:cNvPr>
        <xdr:cNvSpPr/>
      </xdr:nvSpPr>
      <xdr:spPr>
        <a:xfrm>
          <a:off x="0" y="1305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323850</xdr:colOff>
      <xdr:row>195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6380CA4F-95E1-4D6D-87EA-3C2864DC2F98}"/>
            </a:ext>
          </a:extLst>
        </xdr:cNvPr>
        <xdr:cNvSpPr/>
      </xdr:nvSpPr>
      <xdr:spPr>
        <a:xfrm>
          <a:off x="0" y="1342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323850</xdr:colOff>
      <xdr:row>197</xdr:row>
      <xdr:rowOff>120650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3D045B48-7E4F-446E-B541-36A378499310}"/>
            </a:ext>
          </a:extLst>
        </xdr:cNvPr>
        <xdr:cNvSpPr/>
      </xdr:nvSpPr>
      <xdr:spPr>
        <a:xfrm>
          <a:off x="0" y="1379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323850</xdr:colOff>
      <xdr:row>199</xdr:row>
      <xdr:rowOff>120650</xdr:rowOff>
    </xdr:to>
    <xdr:sp macro="" textlink="">
      <xdr:nvSpPr>
        <xdr:cNvPr id="68" name="Frame 67">
          <a:extLst>
            <a:ext uri="{FF2B5EF4-FFF2-40B4-BE49-F238E27FC236}">
              <a16:creationId xmlns:a16="http://schemas.microsoft.com/office/drawing/2014/main" id="{C19903FA-9D19-4F0A-9120-3D2D627CC2C5}"/>
            </a:ext>
          </a:extLst>
        </xdr:cNvPr>
        <xdr:cNvSpPr/>
      </xdr:nvSpPr>
      <xdr:spPr>
        <a:xfrm>
          <a:off x="0" y="1416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323850</xdr:colOff>
      <xdr:row>201</xdr:row>
      <xdr:rowOff>120650</xdr:rowOff>
    </xdr:to>
    <xdr:sp macro="" textlink="">
      <xdr:nvSpPr>
        <xdr:cNvPr id="69" name="Frame 68">
          <a:extLst>
            <a:ext uri="{FF2B5EF4-FFF2-40B4-BE49-F238E27FC236}">
              <a16:creationId xmlns:a16="http://schemas.microsoft.com/office/drawing/2014/main" id="{2C6CF4E2-7EE1-4422-B843-629A31E7C92F}"/>
            </a:ext>
          </a:extLst>
        </xdr:cNvPr>
        <xdr:cNvSpPr/>
      </xdr:nvSpPr>
      <xdr:spPr>
        <a:xfrm>
          <a:off x="0" y="1452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323850</xdr:colOff>
      <xdr:row>203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803522D0-9802-46D9-A7B3-531A0D5BEA74}"/>
            </a:ext>
          </a:extLst>
        </xdr:cNvPr>
        <xdr:cNvSpPr/>
      </xdr:nvSpPr>
      <xdr:spPr>
        <a:xfrm>
          <a:off x="0" y="1489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323850</xdr:colOff>
      <xdr:row>205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F53F992B-7B71-434A-A1B2-00D01E26F515}"/>
            </a:ext>
          </a:extLst>
        </xdr:cNvPr>
        <xdr:cNvSpPr/>
      </xdr:nvSpPr>
      <xdr:spPr>
        <a:xfrm>
          <a:off x="0" y="36995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323850</xdr:colOff>
      <xdr:row>207</xdr:row>
      <xdr:rowOff>120650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C8456D36-B839-47CF-887B-C0ED502055F3}"/>
            </a:ext>
          </a:extLst>
        </xdr:cNvPr>
        <xdr:cNvSpPr/>
      </xdr:nvSpPr>
      <xdr:spPr>
        <a:xfrm>
          <a:off x="0" y="37363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323850</xdr:colOff>
      <xdr:row>209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10B2F700-0A85-4350-B90C-E2A3F47DD0B6}"/>
            </a:ext>
          </a:extLst>
        </xdr:cNvPr>
        <xdr:cNvSpPr/>
      </xdr:nvSpPr>
      <xdr:spPr>
        <a:xfrm>
          <a:off x="0" y="37731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223</xdr:row>
      <xdr:rowOff>177800</xdr:rowOff>
    </xdr:from>
    <xdr:to>
      <xdr:col>0</xdr:col>
      <xdr:colOff>330200</xdr:colOff>
      <xdr:row>225</xdr:row>
      <xdr:rowOff>114300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ED8AB8F0-1372-4B42-88B4-65033AC355A6}"/>
            </a:ext>
          </a:extLst>
        </xdr:cNvPr>
        <xdr:cNvSpPr/>
      </xdr:nvSpPr>
      <xdr:spPr>
        <a:xfrm>
          <a:off x="6350" y="33305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0</xdr:col>
      <xdr:colOff>323850</xdr:colOff>
      <xdr:row>227</xdr:row>
      <xdr:rowOff>120650</xdr:rowOff>
    </xdr:to>
    <xdr:sp macro="" textlink="">
      <xdr:nvSpPr>
        <xdr:cNvPr id="76" name="Frame 75">
          <a:extLst>
            <a:ext uri="{FF2B5EF4-FFF2-40B4-BE49-F238E27FC236}">
              <a16:creationId xmlns:a16="http://schemas.microsoft.com/office/drawing/2014/main" id="{17FF449F-6420-4FA9-B138-6721BA5BE3F9}"/>
            </a:ext>
          </a:extLst>
        </xdr:cNvPr>
        <xdr:cNvSpPr/>
      </xdr:nvSpPr>
      <xdr:spPr>
        <a:xfrm>
          <a:off x="0" y="3368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323850</xdr:colOff>
      <xdr:row>229</xdr:row>
      <xdr:rowOff>120650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32639446-C7F6-4852-8396-B23B37DFC3B2}"/>
            </a:ext>
          </a:extLst>
        </xdr:cNvPr>
        <xdr:cNvSpPr/>
      </xdr:nvSpPr>
      <xdr:spPr>
        <a:xfrm>
          <a:off x="0" y="3404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0</xdr:col>
      <xdr:colOff>323850</xdr:colOff>
      <xdr:row>231</xdr:row>
      <xdr:rowOff>120650</xdr:rowOff>
    </xdr:to>
    <xdr:sp macro="" textlink="">
      <xdr:nvSpPr>
        <xdr:cNvPr id="78" name="Frame 77">
          <a:extLst>
            <a:ext uri="{FF2B5EF4-FFF2-40B4-BE49-F238E27FC236}">
              <a16:creationId xmlns:a16="http://schemas.microsoft.com/office/drawing/2014/main" id="{51B48F1F-1CC4-46EC-B1F9-C2B60CD373A9}"/>
            </a:ext>
          </a:extLst>
        </xdr:cNvPr>
        <xdr:cNvSpPr/>
      </xdr:nvSpPr>
      <xdr:spPr>
        <a:xfrm>
          <a:off x="0" y="34417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323850</xdr:colOff>
      <xdr:row>233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E8EF0795-1262-48DD-896F-3725289A5A32}"/>
            </a:ext>
          </a:extLst>
        </xdr:cNvPr>
        <xdr:cNvSpPr/>
      </xdr:nvSpPr>
      <xdr:spPr>
        <a:xfrm>
          <a:off x="0" y="34785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</xdr:row>
      <xdr:rowOff>0</xdr:rowOff>
    </xdr:from>
    <xdr:to>
      <xdr:col>0</xdr:col>
      <xdr:colOff>323850</xdr:colOff>
      <xdr:row>235</xdr:row>
      <xdr:rowOff>120650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18B989CD-0053-4C67-BFB6-94BDBAD936AF}"/>
            </a:ext>
          </a:extLst>
        </xdr:cNvPr>
        <xdr:cNvSpPr/>
      </xdr:nvSpPr>
      <xdr:spPr>
        <a:xfrm>
          <a:off x="0" y="35153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323850</xdr:colOff>
      <xdr:row>237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11B6D136-E3F8-46A2-BACD-13690AC868FB}"/>
            </a:ext>
          </a:extLst>
        </xdr:cNvPr>
        <xdr:cNvSpPr/>
      </xdr:nvSpPr>
      <xdr:spPr>
        <a:xfrm>
          <a:off x="0" y="35521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323850</xdr:colOff>
      <xdr:row>239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F73EF04E-4F16-4A0F-976D-D2D5B3C0FA6D}"/>
            </a:ext>
          </a:extLst>
        </xdr:cNvPr>
        <xdr:cNvSpPr/>
      </xdr:nvSpPr>
      <xdr:spPr>
        <a:xfrm>
          <a:off x="0" y="35890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323850</xdr:colOff>
      <xdr:row>241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51C91C65-126E-40C7-9167-D61E778BD024}"/>
            </a:ext>
          </a:extLst>
        </xdr:cNvPr>
        <xdr:cNvSpPr/>
      </xdr:nvSpPr>
      <xdr:spPr>
        <a:xfrm>
          <a:off x="0" y="36258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0</xdr:col>
      <xdr:colOff>323850</xdr:colOff>
      <xdr:row>243</xdr:row>
      <xdr:rowOff>120650</xdr:rowOff>
    </xdr:to>
    <xdr:sp macro="" textlink="">
      <xdr:nvSpPr>
        <xdr:cNvPr id="84" name="Frame 83">
          <a:extLst>
            <a:ext uri="{FF2B5EF4-FFF2-40B4-BE49-F238E27FC236}">
              <a16:creationId xmlns:a16="http://schemas.microsoft.com/office/drawing/2014/main" id="{F221A6A3-0003-4720-9DEC-19F0AEFF0844}"/>
            </a:ext>
          </a:extLst>
        </xdr:cNvPr>
        <xdr:cNvSpPr/>
      </xdr:nvSpPr>
      <xdr:spPr>
        <a:xfrm>
          <a:off x="0" y="3662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323850</xdr:colOff>
      <xdr:row>245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80A82E9C-0EF9-446F-9EF7-98CDC981B093}"/>
            </a:ext>
          </a:extLst>
        </xdr:cNvPr>
        <xdr:cNvSpPr/>
      </xdr:nvSpPr>
      <xdr:spPr>
        <a:xfrm>
          <a:off x="0" y="36995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258</xdr:row>
      <xdr:rowOff>177800</xdr:rowOff>
    </xdr:from>
    <xdr:to>
      <xdr:col>0</xdr:col>
      <xdr:colOff>330200</xdr:colOff>
      <xdr:row>260</xdr:row>
      <xdr:rowOff>114300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1914625B-19ED-45DF-8FB9-C379F99EFD71}"/>
            </a:ext>
          </a:extLst>
        </xdr:cNvPr>
        <xdr:cNvSpPr/>
      </xdr:nvSpPr>
      <xdr:spPr>
        <a:xfrm>
          <a:off x="6350" y="11576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261</xdr:row>
      <xdr:rowOff>0</xdr:rowOff>
    </xdr:from>
    <xdr:to>
      <xdr:col>0</xdr:col>
      <xdr:colOff>323850</xdr:colOff>
      <xdr:row>262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88BD9592-98E4-4FA1-99FA-621618204924}"/>
            </a:ext>
          </a:extLst>
        </xdr:cNvPr>
        <xdr:cNvSpPr/>
      </xdr:nvSpPr>
      <xdr:spPr>
        <a:xfrm>
          <a:off x="0" y="1195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323850</xdr:colOff>
      <xdr:row>264</xdr:row>
      <xdr:rowOff>120650</xdr:rowOff>
    </xdr:to>
    <xdr:sp macro="" textlink="">
      <xdr:nvSpPr>
        <xdr:cNvPr id="87" name="Frame 86">
          <a:extLst>
            <a:ext uri="{FF2B5EF4-FFF2-40B4-BE49-F238E27FC236}">
              <a16:creationId xmlns:a16="http://schemas.microsoft.com/office/drawing/2014/main" id="{ECCE38D1-498C-4F62-ABEA-1FFA465AEACE}"/>
            </a:ext>
          </a:extLst>
        </xdr:cNvPr>
        <xdr:cNvSpPr/>
      </xdr:nvSpPr>
      <xdr:spPr>
        <a:xfrm>
          <a:off x="0" y="1231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265</xdr:row>
      <xdr:rowOff>0</xdr:rowOff>
    </xdr:from>
    <xdr:to>
      <xdr:col>0</xdr:col>
      <xdr:colOff>323850</xdr:colOff>
      <xdr:row>266</xdr:row>
      <xdr:rowOff>120650</xdr:rowOff>
    </xdr:to>
    <xdr:sp macro="" textlink="">
      <xdr:nvSpPr>
        <xdr:cNvPr id="88" name="Frame 87">
          <a:extLst>
            <a:ext uri="{FF2B5EF4-FFF2-40B4-BE49-F238E27FC236}">
              <a16:creationId xmlns:a16="http://schemas.microsoft.com/office/drawing/2014/main" id="{B5A030F8-3374-4334-9F43-2A8DFE0D9F41}"/>
            </a:ext>
          </a:extLst>
        </xdr:cNvPr>
        <xdr:cNvSpPr/>
      </xdr:nvSpPr>
      <xdr:spPr>
        <a:xfrm>
          <a:off x="0" y="1268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0</xdr:col>
      <xdr:colOff>323850</xdr:colOff>
      <xdr:row>268</xdr:row>
      <xdr:rowOff>120650</xdr:rowOff>
    </xdr:to>
    <xdr:sp macro="" textlink="">
      <xdr:nvSpPr>
        <xdr:cNvPr id="89" name="Frame 88">
          <a:extLst>
            <a:ext uri="{FF2B5EF4-FFF2-40B4-BE49-F238E27FC236}">
              <a16:creationId xmlns:a16="http://schemas.microsoft.com/office/drawing/2014/main" id="{1EA18B0D-2928-421C-A616-1E312AF9F3DD}"/>
            </a:ext>
          </a:extLst>
        </xdr:cNvPr>
        <xdr:cNvSpPr/>
      </xdr:nvSpPr>
      <xdr:spPr>
        <a:xfrm>
          <a:off x="0" y="1305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282</xdr:row>
      <xdr:rowOff>177800</xdr:rowOff>
    </xdr:from>
    <xdr:to>
      <xdr:col>0</xdr:col>
      <xdr:colOff>330200</xdr:colOff>
      <xdr:row>284</xdr:row>
      <xdr:rowOff>114300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83CE6195-E64D-4066-9F72-593B35963B24}"/>
            </a:ext>
          </a:extLst>
        </xdr:cNvPr>
        <xdr:cNvSpPr/>
      </xdr:nvSpPr>
      <xdr:spPr>
        <a:xfrm>
          <a:off x="6350" y="47288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285</xdr:row>
      <xdr:rowOff>0</xdr:rowOff>
    </xdr:from>
    <xdr:to>
      <xdr:col>0</xdr:col>
      <xdr:colOff>323850</xdr:colOff>
      <xdr:row>286</xdr:row>
      <xdr:rowOff>120650</xdr:rowOff>
    </xdr:to>
    <xdr:sp macro="" textlink="">
      <xdr:nvSpPr>
        <xdr:cNvPr id="97" name="Frame 96">
          <a:extLst>
            <a:ext uri="{FF2B5EF4-FFF2-40B4-BE49-F238E27FC236}">
              <a16:creationId xmlns:a16="http://schemas.microsoft.com/office/drawing/2014/main" id="{16BF8F43-E79D-4D92-BBD6-00A9A9F797C5}"/>
            </a:ext>
          </a:extLst>
        </xdr:cNvPr>
        <xdr:cNvSpPr/>
      </xdr:nvSpPr>
      <xdr:spPr>
        <a:xfrm>
          <a:off x="0" y="47663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287</xdr:row>
      <xdr:rowOff>0</xdr:rowOff>
    </xdr:from>
    <xdr:to>
      <xdr:col>0</xdr:col>
      <xdr:colOff>323850</xdr:colOff>
      <xdr:row>288</xdr:row>
      <xdr:rowOff>120650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31749565-4958-43F8-9DD8-7847B449F7BC}"/>
            </a:ext>
          </a:extLst>
        </xdr:cNvPr>
        <xdr:cNvSpPr/>
      </xdr:nvSpPr>
      <xdr:spPr>
        <a:xfrm>
          <a:off x="0" y="4803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323850</xdr:colOff>
      <xdr:row>290</xdr:row>
      <xdr:rowOff>120650</xdr:rowOff>
    </xdr:to>
    <xdr:sp macro="" textlink="">
      <xdr:nvSpPr>
        <xdr:cNvPr id="99" name="Frame 98">
          <a:extLst>
            <a:ext uri="{FF2B5EF4-FFF2-40B4-BE49-F238E27FC236}">
              <a16:creationId xmlns:a16="http://schemas.microsoft.com/office/drawing/2014/main" id="{C66E1B9E-23E4-4338-BB45-864B2E518C0A}"/>
            </a:ext>
          </a:extLst>
        </xdr:cNvPr>
        <xdr:cNvSpPr/>
      </xdr:nvSpPr>
      <xdr:spPr>
        <a:xfrm>
          <a:off x="0" y="48399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0</xdr:col>
      <xdr:colOff>323850</xdr:colOff>
      <xdr:row>292</xdr:row>
      <xdr:rowOff>120650</xdr:rowOff>
    </xdr:to>
    <xdr:sp macro="" textlink="">
      <xdr:nvSpPr>
        <xdr:cNvPr id="100" name="Frame 99">
          <a:extLst>
            <a:ext uri="{FF2B5EF4-FFF2-40B4-BE49-F238E27FC236}">
              <a16:creationId xmlns:a16="http://schemas.microsoft.com/office/drawing/2014/main" id="{0EA2A92B-7834-4D8B-8F42-F5153D19DE80}"/>
            </a:ext>
          </a:extLst>
        </xdr:cNvPr>
        <xdr:cNvSpPr/>
      </xdr:nvSpPr>
      <xdr:spPr>
        <a:xfrm>
          <a:off x="0" y="4876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323850</xdr:colOff>
      <xdr:row>294</xdr:row>
      <xdr:rowOff>120650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E0C1ACF3-582E-4376-A727-1D39ABFDF9A0}"/>
            </a:ext>
          </a:extLst>
        </xdr:cNvPr>
        <xdr:cNvSpPr/>
      </xdr:nvSpPr>
      <xdr:spPr>
        <a:xfrm>
          <a:off x="0" y="4913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323850</xdr:colOff>
      <xdr:row>296</xdr:row>
      <xdr:rowOff>120650</xdr:rowOff>
    </xdr:to>
    <xdr:sp macro="" textlink="">
      <xdr:nvSpPr>
        <xdr:cNvPr id="102" name="Frame 101">
          <a:extLst>
            <a:ext uri="{FF2B5EF4-FFF2-40B4-BE49-F238E27FC236}">
              <a16:creationId xmlns:a16="http://schemas.microsoft.com/office/drawing/2014/main" id="{256B5195-FC9D-4F56-8910-08A249C4E3ED}"/>
            </a:ext>
          </a:extLst>
        </xdr:cNvPr>
        <xdr:cNvSpPr/>
      </xdr:nvSpPr>
      <xdr:spPr>
        <a:xfrm>
          <a:off x="0" y="4950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297</xdr:row>
      <xdr:rowOff>0</xdr:rowOff>
    </xdr:from>
    <xdr:to>
      <xdr:col>0</xdr:col>
      <xdr:colOff>323850</xdr:colOff>
      <xdr:row>298</xdr:row>
      <xdr:rowOff>120650</xdr:rowOff>
    </xdr:to>
    <xdr:sp macro="" textlink="">
      <xdr:nvSpPr>
        <xdr:cNvPr id="103" name="Frame 102">
          <a:extLst>
            <a:ext uri="{FF2B5EF4-FFF2-40B4-BE49-F238E27FC236}">
              <a16:creationId xmlns:a16="http://schemas.microsoft.com/office/drawing/2014/main" id="{2379FE04-8658-4DF0-878D-2B1AF1ECE094}"/>
            </a:ext>
          </a:extLst>
        </xdr:cNvPr>
        <xdr:cNvSpPr/>
      </xdr:nvSpPr>
      <xdr:spPr>
        <a:xfrm>
          <a:off x="0" y="4987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312</xdr:row>
      <xdr:rowOff>177800</xdr:rowOff>
    </xdr:from>
    <xdr:to>
      <xdr:col>0</xdr:col>
      <xdr:colOff>330200</xdr:colOff>
      <xdr:row>314</xdr:row>
      <xdr:rowOff>114300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375B1124-6F0E-4412-87CC-208E5C44A323}"/>
            </a:ext>
          </a:extLst>
        </xdr:cNvPr>
        <xdr:cNvSpPr/>
      </xdr:nvSpPr>
      <xdr:spPr>
        <a:xfrm>
          <a:off x="6350" y="52806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0</xdr:col>
      <xdr:colOff>323850</xdr:colOff>
      <xdr:row>316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75F081F1-A618-4282-83A8-7629E8F3C4B3}"/>
            </a:ext>
          </a:extLst>
        </xdr:cNvPr>
        <xdr:cNvSpPr/>
      </xdr:nvSpPr>
      <xdr:spPr>
        <a:xfrm>
          <a:off x="0" y="5318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0</xdr:col>
      <xdr:colOff>323850</xdr:colOff>
      <xdr:row>318</xdr:row>
      <xdr:rowOff>120650</xdr:rowOff>
    </xdr:to>
    <xdr:sp macro="" textlink="">
      <xdr:nvSpPr>
        <xdr:cNvPr id="106" name="Frame 105">
          <a:extLst>
            <a:ext uri="{FF2B5EF4-FFF2-40B4-BE49-F238E27FC236}">
              <a16:creationId xmlns:a16="http://schemas.microsoft.com/office/drawing/2014/main" id="{F7E85050-2C8A-4E69-A5C0-B17574F19DE0}"/>
            </a:ext>
          </a:extLst>
        </xdr:cNvPr>
        <xdr:cNvSpPr/>
      </xdr:nvSpPr>
      <xdr:spPr>
        <a:xfrm>
          <a:off x="0" y="5354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0</xdr:col>
      <xdr:colOff>323850</xdr:colOff>
      <xdr:row>320</xdr:row>
      <xdr:rowOff>120650</xdr:rowOff>
    </xdr:to>
    <xdr:sp macro="" textlink="">
      <xdr:nvSpPr>
        <xdr:cNvPr id="107" name="Frame 106">
          <a:extLst>
            <a:ext uri="{FF2B5EF4-FFF2-40B4-BE49-F238E27FC236}">
              <a16:creationId xmlns:a16="http://schemas.microsoft.com/office/drawing/2014/main" id="{66FE5A64-C802-43D2-882E-C96F31D4D35E}"/>
            </a:ext>
          </a:extLst>
        </xdr:cNvPr>
        <xdr:cNvSpPr/>
      </xdr:nvSpPr>
      <xdr:spPr>
        <a:xfrm>
          <a:off x="0" y="5391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323850</xdr:colOff>
      <xdr:row>322</xdr:row>
      <xdr:rowOff>120650</xdr:rowOff>
    </xdr:to>
    <xdr:sp macro="" textlink="">
      <xdr:nvSpPr>
        <xdr:cNvPr id="108" name="Frame 107">
          <a:extLst>
            <a:ext uri="{FF2B5EF4-FFF2-40B4-BE49-F238E27FC236}">
              <a16:creationId xmlns:a16="http://schemas.microsoft.com/office/drawing/2014/main" id="{38BEFBB2-B183-4C92-B815-D8940299D305}"/>
            </a:ext>
          </a:extLst>
        </xdr:cNvPr>
        <xdr:cNvSpPr/>
      </xdr:nvSpPr>
      <xdr:spPr>
        <a:xfrm>
          <a:off x="0" y="5428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0</xdr:col>
      <xdr:colOff>323850</xdr:colOff>
      <xdr:row>324</xdr:row>
      <xdr:rowOff>120650</xdr:rowOff>
    </xdr:to>
    <xdr:sp macro="" textlink="">
      <xdr:nvSpPr>
        <xdr:cNvPr id="109" name="Frame 108">
          <a:extLst>
            <a:ext uri="{FF2B5EF4-FFF2-40B4-BE49-F238E27FC236}">
              <a16:creationId xmlns:a16="http://schemas.microsoft.com/office/drawing/2014/main" id="{D086AC69-78FE-46C3-89CA-E3BD6F9054C8}"/>
            </a:ext>
          </a:extLst>
        </xdr:cNvPr>
        <xdr:cNvSpPr/>
      </xdr:nvSpPr>
      <xdr:spPr>
        <a:xfrm>
          <a:off x="0" y="54654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0</xdr:col>
      <xdr:colOff>323850</xdr:colOff>
      <xdr:row>326</xdr:row>
      <xdr:rowOff>120650</xdr:rowOff>
    </xdr:to>
    <xdr:sp macro="" textlink="">
      <xdr:nvSpPr>
        <xdr:cNvPr id="110" name="Frame 109">
          <a:extLst>
            <a:ext uri="{FF2B5EF4-FFF2-40B4-BE49-F238E27FC236}">
              <a16:creationId xmlns:a16="http://schemas.microsoft.com/office/drawing/2014/main" id="{8E47E0AD-0F6F-4E88-B222-129C989BD90A}"/>
            </a:ext>
          </a:extLst>
        </xdr:cNvPr>
        <xdr:cNvSpPr/>
      </xdr:nvSpPr>
      <xdr:spPr>
        <a:xfrm>
          <a:off x="0" y="55022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344</xdr:row>
      <xdr:rowOff>177800</xdr:rowOff>
    </xdr:from>
    <xdr:to>
      <xdr:col>0</xdr:col>
      <xdr:colOff>330200</xdr:colOff>
      <xdr:row>346</xdr:row>
      <xdr:rowOff>114300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BFA421A3-524D-4E12-B4E6-05C152163975}"/>
            </a:ext>
          </a:extLst>
        </xdr:cNvPr>
        <xdr:cNvSpPr/>
      </xdr:nvSpPr>
      <xdr:spPr>
        <a:xfrm>
          <a:off x="6350" y="52806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347</xdr:row>
      <xdr:rowOff>0</xdr:rowOff>
    </xdr:from>
    <xdr:to>
      <xdr:col>0</xdr:col>
      <xdr:colOff>323850</xdr:colOff>
      <xdr:row>348</xdr:row>
      <xdr:rowOff>120650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6998FFD0-F748-430F-AD94-F2AA6B212171}"/>
            </a:ext>
          </a:extLst>
        </xdr:cNvPr>
        <xdr:cNvSpPr/>
      </xdr:nvSpPr>
      <xdr:spPr>
        <a:xfrm>
          <a:off x="0" y="5318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323850</xdr:colOff>
      <xdr:row>350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58E5CF83-46A7-4C62-8BBB-2785B0C65D4E}"/>
            </a:ext>
          </a:extLst>
        </xdr:cNvPr>
        <xdr:cNvSpPr/>
      </xdr:nvSpPr>
      <xdr:spPr>
        <a:xfrm>
          <a:off x="0" y="5354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364</xdr:row>
      <xdr:rowOff>177800</xdr:rowOff>
    </xdr:from>
    <xdr:to>
      <xdr:col>0</xdr:col>
      <xdr:colOff>330200</xdr:colOff>
      <xdr:row>366</xdr:row>
      <xdr:rowOff>114300</xdr:rowOff>
    </xdr:to>
    <xdr:sp macro="" textlink="">
      <xdr:nvSpPr>
        <xdr:cNvPr id="117" name="Frame 116">
          <a:extLst>
            <a:ext uri="{FF2B5EF4-FFF2-40B4-BE49-F238E27FC236}">
              <a16:creationId xmlns:a16="http://schemas.microsoft.com/office/drawing/2014/main" id="{2B2CB8E4-8854-4542-9CC5-956C8C6C68E3}"/>
            </a:ext>
          </a:extLst>
        </xdr:cNvPr>
        <xdr:cNvSpPr/>
      </xdr:nvSpPr>
      <xdr:spPr>
        <a:xfrm>
          <a:off x="6350" y="4066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367</xdr:row>
      <xdr:rowOff>0</xdr:rowOff>
    </xdr:from>
    <xdr:to>
      <xdr:col>0</xdr:col>
      <xdr:colOff>323850</xdr:colOff>
      <xdr:row>368</xdr:row>
      <xdr:rowOff>120650</xdr:rowOff>
    </xdr:to>
    <xdr:sp macro="" textlink="">
      <xdr:nvSpPr>
        <xdr:cNvPr id="118" name="Frame 117">
          <a:extLst>
            <a:ext uri="{FF2B5EF4-FFF2-40B4-BE49-F238E27FC236}">
              <a16:creationId xmlns:a16="http://schemas.microsoft.com/office/drawing/2014/main" id="{CEA58E5A-C259-4FBC-BCB0-91760AB1FF5A}"/>
            </a:ext>
          </a:extLst>
        </xdr:cNvPr>
        <xdr:cNvSpPr/>
      </xdr:nvSpPr>
      <xdr:spPr>
        <a:xfrm>
          <a:off x="0" y="41040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369</xdr:row>
      <xdr:rowOff>0</xdr:rowOff>
    </xdr:from>
    <xdr:to>
      <xdr:col>0</xdr:col>
      <xdr:colOff>323850</xdr:colOff>
      <xdr:row>370</xdr:row>
      <xdr:rowOff>120650</xdr:rowOff>
    </xdr:to>
    <xdr:sp macro="" textlink="">
      <xdr:nvSpPr>
        <xdr:cNvPr id="119" name="Frame 118">
          <a:extLst>
            <a:ext uri="{FF2B5EF4-FFF2-40B4-BE49-F238E27FC236}">
              <a16:creationId xmlns:a16="http://schemas.microsoft.com/office/drawing/2014/main" id="{229DEAE8-E957-4D9F-9D2C-8A5D3DE46A90}"/>
            </a:ext>
          </a:extLst>
        </xdr:cNvPr>
        <xdr:cNvSpPr/>
      </xdr:nvSpPr>
      <xdr:spPr>
        <a:xfrm>
          <a:off x="0" y="41408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371</xdr:row>
      <xdr:rowOff>0</xdr:rowOff>
    </xdr:from>
    <xdr:to>
      <xdr:col>0</xdr:col>
      <xdr:colOff>323850</xdr:colOff>
      <xdr:row>372</xdr:row>
      <xdr:rowOff>120650</xdr:rowOff>
    </xdr:to>
    <xdr:sp macro="" textlink="">
      <xdr:nvSpPr>
        <xdr:cNvPr id="120" name="Frame 119">
          <a:extLst>
            <a:ext uri="{FF2B5EF4-FFF2-40B4-BE49-F238E27FC236}">
              <a16:creationId xmlns:a16="http://schemas.microsoft.com/office/drawing/2014/main" id="{D70B8A34-4FA0-4CD4-B8E8-2C9FFCDA5F72}"/>
            </a:ext>
          </a:extLst>
        </xdr:cNvPr>
        <xdr:cNvSpPr/>
      </xdr:nvSpPr>
      <xdr:spPr>
        <a:xfrm>
          <a:off x="0" y="41776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0</xdr:col>
      <xdr:colOff>323850</xdr:colOff>
      <xdr:row>374</xdr:row>
      <xdr:rowOff>120650</xdr:rowOff>
    </xdr:to>
    <xdr:sp macro="" textlink="">
      <xdr:nvSpPr>
        <xdr:cNvPr id="121" name="Frame 120">
          <a:extLst>
            <a:ext uri="{FF2B5EF4-FFF2-40B4-BE49-F238E27FC236}">
              <a16:creationId xmlns:a16="http://schemas.microsoft.com/office/drawing/2014/main" id="{74E1A7D0-F267-406A-A5F5-0D0ED955248D}"/>
            </a:ext>
          </a:extLst>
        </xdr:cNvPr>
        <xdr:cNvSpPr/>
      </xdr:nvSpPr>
      <xdr:spPr>
        <a:xfrm>
          <a:off x="0" y="42144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0</xdr:col>
      <xdr:colOff>323850</xdr:colOff>
      <xdr:row>376</xdr:row>
      <xdr:rowOff>120650</xdr:rowOff>
    </xdr:to>
    <xdr:sp macro="" textlink="">
      <xdr:nvSpPr>
        <xdr:cNvPr id="122" name="Frame 121">
          <a:extLst>
            <a:ext uri="{FF2B5EF4-FFF2-40B4-BE49-F238E27FC236}">
              <a16:creationId xmlns:a16="http://schemas.microsoft.com/office/drawing/2014/main" id="{5A117575-B744-401B-A4C8-4911A64D81FB}"/>
            </a:ext>
          </a:extLst>
        </xdr:cNvPr>
        <xdr:cNvSpPr/>
      </xdr:nvSpPr>
      <xdr:spPr>
        <a:xfrm>
          <a:off x="0" y="42513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323850</xdr:colOff>
      <xdr:row>378</xdr:row>
      <xdr:rowOff>120650</xdr:rowOff>
    </xdr:to>
    <xdr:sp macro="" textlink="">
      <xdr:nvSpPr>
        <xdr:cNvPr id="123" name="Frame 122">
          <a:extLst>
            <a:ext uri="{FF2B5EF4-FFF2-40B4-BE49-F238E27FC236}">
              <a16:creationId xmlns:a16="http://schemas.microsoft.com/office/drawing/2014/main" id="{8B0B2E86-3B25-4FC4-A5D1-162673E5FCA8}"/>
            </a:ext>
          </a:extLst>
        </xdr:cNvPr>
        <xdr:cNvSpPr/>
      </xdr:nvSpPr>
      <xdr:spPr>
        <a:xfrm>
          <a:off x="0" y="4288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379</xdr:row>
      <xdr:rowOff>0</xdr:rowOff>
    </xdr:from>
    <xdr:to>
      <xdr:col>0</xdr:col>
      <xdr:colOff>323850</xdr:colOff>
      <xdr:row>380</xdr:row>
      <xdr:rowOff>120650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7F92A907-8BE1-460B-AA50-B4A5276F47CA}"/>
            </a:ext>
          </a:extLst>
        </xdr:cNvPr>
        <xdr:cNvSpPr/>
      </xdr:nvSpPr>
      <xdr:spPr>
        <a:xfrm>
          <a:off x="0" y="4324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381</xdr:row>
      <xdr:rowOff>0</xdr:rowOff>
    </xdr:from>
    <xdr:to>
      <xdr:col>0</xdr:col>
      <xdr:colOff>323850</xdr:colOff>
      <xdr:row>382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613247F5-CC4F-4E52-A50F-52A0F53A2F3F}"/>
            </a:ext>
          </a:extLst>
        </xdr:cNvPr>
        <xdr:cNvSpPr/>
      </xdr:nvSpPr>
      <xdr:spPr>
        <a:xfrm>
          <a:off x="0" y="4361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0</xdr:col>
      <xdr:colOff>323850</xdr:colOff>
      <xdr:row>384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D3E4063A-1AC0-4E8E-ADF6-AB4254E7D351}"/>
            </a:ext>
          </a:extLst>
        </xdr:cNvPr>
        <xdr:cNvSpPr/>
      </xdr:nvSpPr>
      <xdr:spPr>
        <a:xfrm>
          <a:off x="0" y="4398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0</xdr:col>
      <xdr:colOff>323850</xdr:colOff>
      <xdr:row>386</xdr:row>
      <xdr:rowOff>120650</xdr:rowOff>
    </xdr:to>
    <xdr:sp macro="" textlink="">
      <xdr:nvSpPr>
        <xdr:cNvPr id="128" name="Frame 127">
          <a:extLst>
            <a:ext uri="{FF2B5EF4-FFF2-40B4-BE49-F238E27FC236}">
              <a16:creationId xmlns:a16="http://schemas.microsoft.com/office/drawing/2014/main" id="{08D050F4-5FD1-4B8F-8BA5-817B27D1E6D0}"/>
            </a:ext>
          </a:extLst>
        </xdr:cNvPr>
        <xdr:cNvSpPr/>
      </xdr:nvSpPr>
      <xdr:spPr>
        <a:xfrm>
          <a:off x="0" y="7120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387</xdr:row>
      <xdr:rowOff>0</xdr:rowOff>
    </xdr:from>
    <xdr:to>
      <xdr:col>0</xdr:col>
      <xdr:colOff>323850</xdr:colOff>
      <xdr:row>388</xdr:row>
      <xdr:rowOff>120650</xdr:rowOff>
    </xdr:to>
    <xdr:sp macro="" textlink="">
      <xdr:nvSpPr>
        <xdr:cNvPr id="129" name="Frame 128">
          <a:extLst>
            <a:ext uri="{FF2B5EF4-FFF2-40B4-BE49-F238E27FC236}">
              <a16:creationId xmlns:a16="http://schemas.microsoft.com/office/drawing/2014/main" id="{93241BDD-6D45-4FA7-BA33-CA63AA104670}"/>
            </a:ext>
          </a:extLst>
        </xdr:cNvPr>
        <xdr:cNvSpPr/>
      </xdr:nvSpPr>
      <xdr:spPr>
        <a:xfrm>
          <a:off x="0" y="7157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389</xdr:row>
      <xdr:rowOff>0</xdr:rowOff>
    </xdr:from>
    <xdr:to>
      <xdr:col>0</xdr:col>
      <xdr:colOff>323850</xdr:colOff>
      <xdr:row>390</xdr:row>
      <xdr:rowOff>120650</xdr:rowOff>
    </xdr:to>
    <xdr:sp macro="" textlink="">
      <xdr:nvSpPr>
        <xdr:cNvPr id="130" name="Frame 129">
          <a:extLst>
            <a:ext uri="{FF2B5EF4-FFF2-40B4-BE49-F238E27FC236}">
              <a16:creationId xmlns:a16="http://schemas.microsoft.com/office/drawing/2014/main" id="{1B8A7792-F52F-4FD3-89F7-6B8049EF457D}"/>
            </a:ext>
          </a:extLst>
        </xdr:cNvPr>
        <xdr:cNvSpPr/>
      </xdr:nvSpPr>
      <xdr:spPr>
        <a:xfrm>
          <a:off x="0" y="7194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403</xdr:row>
      <xdr:rowOff>177800</xdr:rowOff>
    </xdr:from>
    <xdr:to>
      <xdr:col>0</xdr:col>
      <xdr:colOff>330200</xdr:colOff>
      <xdr:row>405</xdr:row>
      <xdr:rowOff>114300</xdr:rowOff>
    </xdr:to>
    <xdr:sp macro="" textlink="">
      <xdr:nvSpPr>
        <xdr:cNvPr id="131" name="Frame 130">
          <a:extLst>
            <a:ext uri="{FF2B5EF4-FFF2-40B4-BE49-F238E27FC236}">
              <a16:creationId xmlns:a16="http://schemas.microsoft.com/office/drawing/2014/main" id="{EB0D629D-FE6F-4745-A702-D813265C4554}"/>
            </a:ext>
          </a:extLst>
        </xdr:cNvPr>
        <xdr:cNvSpPr/>
      </xdr:nvSpPr>
      <xdr:spPr>
        <a:xfrm>
          <a:off x="6350" y="675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406</xdr:row>
      <xdr:rowOff>0</xdr:rowOff>
    </xdr:from>
    <xdr:to>
      <xdr:col>0</xdr:col>
      <xdr:colOff>323850</xdr:colOff>
      <xdr:row>407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5354DB21-660E-4FAF-AB88-51FEE025434B}"/>
            </a:ext>
          </a:extLst>
        </xdr:cNvPr>
        <xdr:cNvSpPr/>
      </xdr:nvSpPr>
      <xdr:spPr>
        <a:xfrm>
          <a:off x="0" y="6789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0</xdr:col>
      <xdr:colOff>323850</xdr:colOff>
      <xdr:row>409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718E1EF2-1132-43C6-9420-43DAFF5E3B22}"/>
            </a:ext>
          </a:extLst>
        </xdr:cNvPr>
        <xdr:cNvSpPr/>
      </xdr:nvSpPr>
      <xdr:spPr>
        <a:xfrm>
          <a:off x="0" y="68262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0</xdr:col>
      <xdr:colOff>323850</xdr:colOff>
      <xdr:row>411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CEEBEC70-1703-4CFA-819B-F7670DF4927A}"/>
            </a:ext>
          </a:extLst>
        </xdr:cNvPr>
        <xdr:cNvSpPr/>
      </xdr:nvSpPr>
      <xdr:spPr>
        <a:xfrm>
          <a:off x="0" y="68630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412</xdr:row>
      <xdr:rowOff>0</xdr:rowOff>
    </xdr:from>
    <xdr:to>
      <xdr:col>0</xdr:col>
      <xdr:colOff>323850</xdr:colOff>
      <xdr:row>413</xdr:row>
      <xdr:rowOff>120650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98D98FF6-5F24-44D3-8C31-57B41E9E512A}"/>
            </a:ext>
          </a:extLst>
        </xdr:cNvPr>
        <xdr:cNvSpPr/>
      </xdr:nvSpPr>
      <xdr:spPr>
        <a:xfrm>
          <a:off x="0" y="68999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414</xdr:row>
      <xdr:rowOff>0</xdr:rowOff>
    </xdr:from>
    <xdr:to>
      <xdr:col>0</xdr:col>
      <xdr:colOff>323850</xdr:colOff>
      <xdr:row>415</xdr:row>
      <xdr:rowOff>120650</xdr:rowOff>
    </xdr:to>
    <xdr:sp macro="" textlink="">
      <xdr:nvSpPr>
        <xdr:cNvPr id="136" name="Frame 135">
          <a:extLst>
            <a:ext uri="{FF2B5EF4-FFF2-40B4-BE49-F238E27FC236}">
              <a16:creationId xmlns:a16="http://schemas.microsoft.com/office/drawing/2014/main" id="{79E80291-7AB1-49E2-8900-3B4C58373BB1}"/>
            </a:ext>
          </a:extLst>
        </xdr:cNvPr>
        <xdr:cNvSpPr/>
      </xdr:nvSpPr>
      <xdr:spPr>
        <a:xfrm>
          <a:off x="0" y="69367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416</xdr:row>
      <xdr:rowOff>0</xdr:rowOff>
    </xdr:from>
    <xdr:to>
      <xdr:col>0</xdr:col>
      <xdr:colOff>323850</xdr:colOff>
      <xdr:row>417</xdr:row>
      <xdr:rowOff>120650</xdr:rowOff>
    </xdr:to>
    <xdr:sp macro="" textlink="">
      <xdr:nvSpPr>
        <xdr:cNvPr id="137" name="Frame 136">
          <a:extLst>
            <a:ext uri="{FF2B5EF4-FFF2-40B4-BE49-F238E27FC236}">
              <a16:creationId xmlns:a16="http://schemas.microsoft.com/office/drawing/2014/main" id="{84B10C96-AD95-41B3-B2BC-BF402B6144A6}"/>
            </a:ext>
          </a:extLst>
        </xdr:cNvPr>
        <xdr:cNvSpPr/>
      </xdr:nvSpPr>
      <xdr:spPr>
        <a:xfrm>
          <a:off x="0" y="6973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127000</xdr:rowOff>
    </xdr:to>
    <xdr:sp macro="" textlink="">
      <xdr:nvSpPr>
        <xdr:cNvPr id="112" name="Frame 111">
          <a:extLst>
            <a:ext uri="{FF2B5EF4-FFF2-40B4-BE49-F238E27FC236}">
              <a16:creationId xmlns:a16="http://schemas.microsoft.com/office/drawing/2014/main" id="{4953AD66-094A-42D1-AB81-F80F1DF445DA}"/>
            </a:ext>
          </a:extLst>
        </xdr:cNvPr>
        <xdr:cNvSpPr/>
      </xdr:nvSpPr>
      <xdr:spPr>
        <a:xfrm>
          <a:off x="0" y="18224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323850</xdr:colOff>
      <xdr:row>83</xdr:row>
      <xdr:rowOff>120650</xdr:rowOff>
    </xdr:to>
    <xdr:sp macro="" textlink="">
      <xdr:nvSpPr>
        <xdr:cNvPr id="113" name="Frame 112">
          <a:extLst>
            <a:ext uri="{FF2B5EF4-FFF2-40B4-BE49-F238E27FC236}">
              <a16:creationId xmlns:a16="http://schemas.microsoft.com/office/drawing/2014/main" id="{AD17C7D6-1C78-4B26-BCE8-5A71DA4A683C}"/>
            </a:ext>
          </a:extLst>
        </xdr:cNvPr>
        <xdr:cNvSpPr/>
      </xdr:nvSpPr>
      <xdr:spPr>
        <a:xfrm>
          <a:off x="0" y="15265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323850</xdr:colOff>
      <xdr:row>85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D2904120-FBE9-4D1B-BFAB-561CF9E1511F}"/>
            </a:ext>
          </a:extLst>
        </xdr:cNvPr>
        <xdr:cNvSpPr/>
      </xdr:nvSpPr>
      <xdr:spPr>
        <a:xfrm>
          <a:off x="0" y="15633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430</xdr:row>
      <xdr:rowOff>177800</xdr:rowOff>
    </xdr:from>
    <xdr:to>
      <xdr:col>0</xdr:col>
      <xdr:colOff>330200</xdr:colOff>
      <xdr:row>432</xdr:row>
      <xdr:rowOff>114300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B035BD7C-0FC5-489F-BBB8-A44DF4D7BF7F}"/>
            </a:ext>
          </a:extLst>
        </xdr:cNvPr>
        <xdr:cNvSpPr/>
      </xdr:nvSpPr>
      <xdr:spPr>
        <a:xfrm>
          <a:off x="6350" y="7543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323850</xdr:colOff>
      <xdr:row>434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0B5FB33D-6FA0-4431-9DA2-33A9F9443453}"/>
            </a:ext>
          </a:extLst>
        </xdr:cNvPr>
        <xdr:cNvSpPr/>
      </xdr:nvSpPr>
      <xdr:spPr>
        <a:xfrm>
          <a:off x="0" y="75806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435</xdr:row>
      <xdr:rowOff>0</xdr:rowOff>
    </xdr:from>
    <xdr:to>
      <xdr:col>0</xdr:col>
      <xdr:colOff>323850</xdr:colOff>
      <xdr:row>436</xdr:row>
      <xdr:rowOff>120650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B3D0A076-A531-4F4D-B450-97EB0605F526}"/>
            </a:ext>
          </a:extLst>
        </xdr:cNvPr>
        <xdr:cNvSpPr/>
      </xdr:nvSpPr>
      <xdr:spPr>
        <a:xfrm>
          <a:off x="0" y="7617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437</xdr:row>
      <xdr:rowOff>0</xdr:rowOff>
    </xdr:from>
    <xdr:to>
      <xdr:col>0</xdr:col>
      <xdr:colOff>323850</xdr:colOff>
      <xdr:row>438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5D375587-2EB0-4EF6-8C7E-8001D27A0BEE}"/>
            </a:ext>
          </a:extLst>
        </xdr:cNvPr>
        <xdr:cNvSpPr/>
      </xdr:nvSpPr>
      <xdr:spPr>
        <a:xfrm>
          <a:off x="0" y="7654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451</xdr:row>
      <xdr:rowOff>177800</xdr:rowOff>
    </xdr:from>
    <xdr:to>
      <xdr:col>0</xdr:col>
      <xdr:colOff>330200</xdr:colOff>
      <xdr:row>453</xdr:row>
      <xdr:rowOff>114300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DDAD253A-3960-494A-8E39-020F2CE44B0C}"/>
            </a:ext>
          </a:extLst>
        </xdr:cNvPr>
        <xdr:cNvSpPr/>
      </xdr:nvSpPr>
      <xdr:spPr>
        <a:xfrm>
          <a:off x="6350" y="5887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0</xdr:col>
      <xdr:colOff>323850</xdr:colOff>
      <xdr:row>459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179E1B7E-CC91-47FD-8FF2-B36BA4D2EE72}"/>
            </a:ext>
          </a:extLst>
        </xdr:cNvPr>
        <xdr:cNvSpPr/>
      </xdr:nvSpPr>
      <xdr:spPr>
        <a:xfrm>
          <a:off x="0" y="59251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460</xdr:row>
      <xdr:rowOff>0</xdr:rowOff>
    </xdr:from>
    <xdr:to>
      <xdr:col>0</xdr:col>
      <xdr:colOff>323850</xdr:colOff>
      <xdr:row>461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5C7D4C45-6F01-4D6B-952C-7FD08C324A8E}"/>
            </a:ext>
          </a:extLst>
        </xdr:cNvPr>
        <xdr:cNvSpPr/>
      </xdr:nvSpPr>
      <xdr:spPr>
        <a:xfrm>
          <a:off x="0" y="59620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462</xdr:row>
      <xdr:rowOff>0</xdr:rowOff>
    </xdr:from>
    <xdr:to>
      <xdr:col>0</xdr:col>
      <xdr:colOff>323850</xdr:colOff>
      <xdr:row>463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98EEC823-C08D-4E49-AF1E-B677AF5614BF}"/>
            </a:ext>
          </a:extLst>
        </xdr:cNvPr>
        <xdr:cNvSpPr/>
      </xdr:nvSpPr>
      <xdr:spPr>
        <a:xfrm>
          <a:off x="0" y="59988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464</xdr:row>
      <xdr:rowOff>0</xdr:rowOff>
    </xdr:from>
    <xdr:to>
      <xdr:col>0</xdr:col>
      <xdr:colOff>323850</xdr:colOff>
      <xdr:row>465</xdr:row>
      <xdr:rowOff>120650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AB328AB1-7F81-400A-A439-55F00DD5DC50}"/>
            </a:ext>
          </a:extLst>
        </xdr:cNvPr>
        <xdr:cNvSpPr/>
      </xdr:nvSpPr>
      <xdr:spPr>
        <a:xfrm>
          <a:off x="0" y="6035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323850</xdr:colOff>
      <xdr:row>467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39204BD2-7BF9-439E-923E-0094DCD7F3EF}"/>
            </a:ext>
          </a:extLst>
        </xdr:cNvPr>
        <xdr:cNvSpPr/>
      </xdr:nvSpPr>
      <xdr:spPr>
        <a:xfrm>
          <a:off x="0" y="6072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0</xdr:col>
      <xdr:colOff>323850</xdr:colOff>
      <xdr:row>469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2063AB73-F84F-4B13-9C78-21E70079FF9C}"/>
            </a:ext>
          </a:extLst>
        </xdr:cNvPr>
        <xdr:cNvSpPr/>
      </xdr:nvSpPr>
      <xdr:spPr>
        <a:xfrm>
          <a:off x="0" y="6109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470</xdr:row>
      <xdr:rowOff>0</xdr:rowOff>
    </xdr:from>
    <xdr:to>
      <xdr:col>0</xdr:col>
      <xdr:colOff>323850</xdr:colOff>
      <xdr:row>471</xdr:row>
      <xdr:rowOff>120650</xdr:rowOff>
    </xdr:to>
    <xdr:sp macro="" textlink="">
      <xdr:nvSpPr>
        <xdr:cNvPr id="159" name="Frame 158">
          <a:extLst>
            <a:ext uri="{FF2B5EF4-FFF2-40B4-BE49-F238E27FC236}">
              <a16:creationId xmlns:a16="http://schemas.microsoft.com/office/drawing/2014/main" id="{F71D0C7A-8B18-4C0C-8B2D-B1AC802DB346}"/>
            </a:ext>
          </a:extLst>
        </xdr:cNvPr>
        <xdr:cNvSpPr/>
      </xdr:nvSpPr>
      <xdr:spPr>
        <a:xfrm>
          <a:off x="0" y="8718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0</xdr:col>
      <xdr:colOff>323850</xdr:colOff>
      <xdr:row>473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B9721431-9827-49F8-8659-5CBFC716261B}"/>
            </a:ext>
          </a:extLst>
        </xdr:cNvPr>
        <xdr:cNvSpPr/>
      </xdr:nvSpPr>
      <xdr:spPr>
        <a:xfrm>
          <a:off x="0" y="87553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323850</xdr:colOff>
      <xdr:row>475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0C04D985-C5C6-4B70-8828-8D7C3B165132}"/>
            </a:ext>
          </a:extLst>
        </xdr:cNvPr>
        <xdr:cNvSpPr/>
      </xdr:nvSpPr>
      <xdr:spPr>
        <a:xfrm>
          <a:off x="0" y="8792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476</xdr:row>
      <xdr:rowOff>0</xdr:rowOff>
    </xdr:from>
    <xdr:to>
      <xdr:col>0</xdr:col>
      <xdr:colOff>323850</xdr:colOff>
      <xdr:row>477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736C8F56-08A1-4F63-8C11-18DA8F9893F6}"/>
            </a:ext>
          </a:extLst>
        </xdr:cNvPr>
        <xdr:cNvSpPr/>
      </xdr:nvSpPr>
      <xdr:spPr>
        <a:xfrm>
          <a:off x="0" y="8829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0</xdr:col>
      <xdr:colOff>323850</xdr:colOff>
      <xdr:row>479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7B6960FA-30FB-456A-BE8A-A8C01C417800}"/>
            </a:ext>
          </a:extLst>
        </xdr:cNvPr>
        <xdr:cNvSpPr/>
      </xdr:nvSpPr>
      <xdr:spPr>
        <a:xfrm>
          <a:off x="0" y="8865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480</xdr:row>
      <xdr:rowOff>0</xdr:rowOff>
    </xdr:from>
    <xdr:to>
      <xdr:col>0</xdr:col>
      <xdr:colOff>323850</xdr:colOff>
      <xdr:row>481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B86DB43D-C8CE-4D7A-B3B9-30383B2689BA}"/>
            </a:ext>
          </a:extLst>
        </xdr:cNvPr>
        <xdr:cNvSpPr/>
      </xdr:nvSpPr>
      <xdr:spPr>
        <a:xfrm>
          <a:off x="0" y="89027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495</xdr:row>
      <xdr:rowOff>177800</xdr:rowOff>
    </xdr:from>
    <xdr:to>
      <xdr:col>0</xdr:col>
      <xdr:colOff>330200</xdr:colOff>
      <xdr:row>497</xdr:row>
      <xdr:rowOff>114300</xdr:rowOff>
    </xdr:to>
    <xdr:sp macro="" textlink="">
      <xdr:nvSpPr>
        <xdr:cNvPr id="165" name="Frame 164">
          <a:extLst>
            <a:ext uri="{FF2B5EF4-FFF2-40B4-BE49-F238E27FC236}">
              <a16:creationId xmlns:a16="http://schemas.microsoft.com/office/drawing/2014/main" id="{1FEF8186-E8D2-4713-B727-695EB4142B97}"/>
            </a:ext>
          </a:extLst>
        </xdr:cNvPr>
        <xdr:cNvSpPr/>
      </xdr:nvSpPr>
      <xdr:spPr>
        <a:xfrm>
          <a:off x="6350" y="8460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498</xdr:row>
      <xdr:rowOff>0</xdr:rowOff>
    </xdr:from>
    <xdr:to>
      <xdr:col>0</xdr:col>
      <xdr:colOff>323850</xdr:colOff>
      <xdr:row>499</xdr:row>
      <xdr:rowOff>120650</xdr:rowOff>
    </xdr:to>
    <xdr:sp macro="" textlink="">
      <xdr:nvSpPr>
        <xdr:cNvPr id="166" name="Frame 165">
          <a:extLst>
            <a:ext uri="{FF2B5EF4-FFF2-40B4-BE49-F238E27FC236}">
              <a16:creationId xmlns:a16="http://schemas.microsoft.com/office/drawing/2014/main" id="{8B830EEA-107C-49FE-8D3A-F1AF818D0E67}"/>
            </a:ext>
          </a:extLst>
        </xdr:cNvPr>
        <xdr:cNvSpPr/>
      </xdr:nvSpPr>
      <xdr:spPr>
        <a:xfrm>
          <a:off x="0" y="8497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500</xdr:row>
      <xdr:rowOff>0</xdr:rowOff>
    </xdr:from>
    <xdr:to>
      <xdr:col>0</xdr:col>
      <xdr:colOff>323850</xdr:colOff>
      <xdr:row>501</xdr:row>
      <xdr:rowOff>120650</xdr:rowOff>
    </xdr:to>
    <xdr:sp macro="" textlink="">
      <xdr:nvSpPr>
        <xdr:cNvPr id="167" name="Frame 166">
          <a:extLst>
            <a:ext uri="{FF2B5EF4-FFF2-40B4-BE49-F238E27FC236}">
              <a16:creationId xmlns:a16="http://schemas.microsoft.com/office/drawing/2014/main" id="{C5E2D0E8-7BBF-40F0-8EFA-BB4255DE0F93}"/>
            </a:ext>
          </a:extLst>
        </xdr:cNvPr>
        <xdr:cNvSpPr/>
      </xdr:nvSpPr>
      <xdr:spPr>
        <a:xfrm>
          <a:off x="0" y="8534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0</xdr:col>
      <xdr:colOff>323850</xdr:colOff>
      <xdr:row>503</xdr:row>
      <xdr:rowOff>120650</xdr:rowOff>
    </xdr:to>
    <xdr:sp macro="" textlink="">
      <xdr:nvSpPr>
        <xdr:cNvPr id="168" name="Frame 167">
          <a:extLst>
            <a:ext uri="{FF2B5EF4-FFF2-40B4-BE49-F238E27FC236}">
              <a16:creationId xmlns:a16="http://schemas.microsoft.com/office/drawing/2014/main" id="{1D9D4049-6AB6-427E-BFF1-52358F7A53AF}"/>
            </a:ext>
          </a:extLst>
        </xdr:cNvPr>
        <xdr:cNvSpPr/>
      </xdr:nvSpPr>
      <xdr:spPr>
        <a:xfrm>
          <a:off x="0" y="8571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516</xdr:row>
      <xdr:rowOff>177800</xdr:rowOff>
    </xdr:from>
    <xdr:to>
      <xdr:col>0</xdr:col>
      <xdr:colOff>330200</xdr:colOff>
      <xdr:row>518</xdr:row>
      <xdr:rowOff>114300</xdr:rowOff>
    </xdr:to>
    <xdr:sp macro="" textlink="">
      <xdr:nvSpPr>
        <xdr:cNvPr id="178" name="Frame 177">
          <a:extLst>
            <a:ext uri="{FF2B5EF4-FFF2-40B4-BE49-F238E27FC236}">
              <a16:creationId xmlns:a16="http://schemas.microsoft.com/office/drawing/2014/main" id="{FC22DD94-A152-4BEB-8962-C2B7F807EFE7}"/>
            </a:ext>
          </a:extLst>
        </xdr:cNvPr>
        <xdr:cNvSpPr/>
      </xdr:nvSpPr>
      <xdr:spPr>
        <a:xfrm>
          <a:off x="6350" y="91948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323850</xdr:colOff>
      <xdr:row>520</xdr:row>
      <xdr:rowOff>120650</xdr:rowOff>
    </xdr:to>
    <xdr:sp macro="" textlink="">
      <xdr:nvSpPr>
        <xdr:cNvPr id="179" name="Frame 178">
          <a:extLst>
            <a:ext uri="{FF2B5EF4-FFF2-40B4-BE49-F238E27FC236}">
              <a16:creationId xmlns:a16="http://schemas.microsoft.com/office/drawing/2014/main" id="{B400BA65-1431-4E76-975B-583F57A27ACF}"/>
            </a:ext>
          </a:extLst>
        </xdr:cNvPr>
        <xdr:cNvSpPr/>
      </xdr:nvSpPr>
      <xdr:spPr>
        <a:xfrm>
          <a:off x="0" y="92322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521</xdr:row>
      <xdr:rowOff>0</xdr:rowOff>
    </xdr:from>
    <xdr:to>
      <xdr:col>0</xdr:col>
      <xdr:colOff>323850</xdr:colOff>
      <xdr:row>522</xdr:row>
      <xdr:rowOff>120650</xdr:rowOff>
    </xdr:to>
    <xdr:sp macro="" textlink="">
      <xdr:nvSpPr>
        <xdr:cNvPr id="180" name="Frame 179">
          <a:extLst>
            <a:ext uri="{FF2B5EF4-FFF2-40B4-BE49-F238E27FC236}">
              <a16:creationId xmlns:a16="http://schemas.microsoft.com/office/drawing/2014/main" id="{38A2D792-3FE7-4E88-AB8A-2895AB9D867F}"/>
            </a:ext>
          </a:extLst>
        </xdr:cNvPr>
        <xdr:cNvSpPr/>
      </xdr:nvSpPr>
      <xdr:spPr>
        <a:xfrm>
          <a:off x="0" y="92690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536</xdr:row>
      <xdr:rowOff>177800</xdr:rowOff>
    </xdr:from>
    <xdr:to>
      <xdr:col>0</xdr:col>
      <xdr:colOff>330200</xdr:colOff>
      <xdr:row>538</xdr:row>
      <xdr:rowOff>114300</xdr:rowOff>
    </xdr:to>
    <xdr:sp macro="" textlink="">
      <xdr:nvSpPr>
        <xdr:cNvPr id="182" name="Frame 181">
          <a:extLst>
            <a:ext uri="{FF2B5EF4-FFF2-40B4-BE49-F238E27FC236}">
              <a16:creationId xmlns:a16="http://schemas.microsoft.com/office/drawing/2014/main" id="{CC63E284-A20D-4EFD-8BFE-7E99AF79016A}"/>
            </a:ext>
          </a:extLst>
        </xdr:cNvPr>
        <xdr:cNvSpPr/>
      </xdr:nvSpPr>
      <xdr:spPr>
        <a:xfrm>
          <a:off x="6350" y="8460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539</xdr:row>
      <xdr:rowOff>0</xdr:rowOff>
    </xdr:from>
    <xdr:to>
      <xdr:col>0</xdr:col>
      <xdr:colOff>323850</xdr:colOff>
      <xdr:row>540</xdr:row>
      <xdr:rowOff>120650</xdr:rowOff>
    </xdr:to>
    <xdr:sp macro="" textlink="">
      <xdr:nvSpPr>
        <xdr:cNvPr id="183" name="Frame 182">
          <a:extLst>
            <a:ext uri="{FF2B5EF4-FFF2-40B4-BE49-F238E27FC236}">
              <a16:creationId xmlns:a16="http://schemas.microsoft.com/office/drawing/2014/main" id="{784E8E30-6449-4B6B-9E65-9610E5065EF3}"/>
            </a:ext>
          </a:extLst>
        </xdr:cNvPr>
        <xdr:cNvSpPr/>
      </xdr:nvSpPr>
      <xdr:spPr>
        <a:xfrm>
          <a:off x="0" y="8497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541</xdr:row>
      <xdr:rowOff>107950</xdr:rowOff>
    </xdr:from>
    <xdr:to>
      <xdr:col>0</xdr:col>
      <xdr:colOff>323850</xdr:colOff>
      <xdr:row>543</xdr:row>
      <xdr:rowOff>44450</xdr:rowOff>
    </xdr:to>
    <xdr:sp macro="" textlink="">
      <xdr:nvSpPr>
        <xdr:cNvPr id="184" name="Frame 183">
          <a:extLst>
            <a:ext uri="{FF2B5EF4-FFF2-40B4-BE49-F238E27FC236}">
              <a16:creationId xmlns:a16="http://schemas.microsoft.com/office/drawing/2014/main" id="{1D6ADEE8-BC83-4EDD-91C8-A34DDF6B7AF2}"/>
            </a:ext>
          </a:extLst>
        </xdr:cNvPr>
        <xdr:cNvSpPr/>
      </xdr:nvSpPr>
      <xdr:spPr>
        <a:xfrm>
          <a:off x="0" y="100679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544</xdr:row>
      <xdr:rowOff>0</xdr:rowOff>
    </xdr:from>
    <xdr:to>
      <xdr:col>0</xdr:col>
      <xdr:colOff>323850</xdr:colOff>
      <xdr:row>545</xdr:row>
      <xdr:rowOff>120650</xdr:rowOff>
    </xdr:to>
    <xdr:sp macro="" textlink="">
      <xdr:nvSpPr>
        <xdr:cNvPr id="195" name="Frame 194">
          <a:extLst>
            <a:ext uri="{FF2B5EF4-FFF2-40B4-BE49-F238E27FC236}">
              <a16:creationId xmlns:a16="http://schemas.microsoft.com/office/drawing/2014/main" id="{3472541A-91C4-4517-84EE-1B796AF27D61}"/>
            </a:ext>
          </a:extLst>
        </xdr:cNvPr>
        <xdr:cNvSpPr/>
      </xdr:nvSpPr>
      <xdr:spPr>
        <a:xfrm>
          <a:off x="0" y="10112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546</xdr:row>
      <xdr:rowOff>0</xdr:rowOff>
    </xdr:from>
    <xdr:to>
      <xdr:col>0</xdr:col>
      <xdr:colOff>323850</xdr:colOff>
      <xdr:row>547</xdr:row>
      <xdr:rowOff>120650</xdr:rowOff>
    </xdr:to>
    <xdr:sp macro="" textlink="">
      <xdr:nvSpPr>
        <xdr:cNvPr id="196" name="Frame 195">
          <a:extLst>
            <a:ext uri="{FF2B5EF4-FFF2-40B4-BE49-F238E27FC236}">
              <a16:creationId xmlns:a16="http://schemas.microsoft.com/office/drawing/2014/main" id="{C2C9CD8E-C639-47D1-B4D8-E0857FFFF7DF}"/>
            </a:ext>
          </a:extLst>
        </xdr:cNvPr>
        <xdr:cNvSpPr/>
      </xdr:nvSpPr>
      <xdr:spPr>
        <a:xfrm>
          <a:off x="0" y="10149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548</xdr:row>
      <xdr:rowOff>0</xdr:rowOff>
    </xdr:from>
    <xdr:to>
      <xdr:col>0</xdr:col>
      <xdr:colOff>323850</xdr:colOff>
      <xdr:row>549</xdr:row>
      <xdr:rowOff>120650</xdr:rowOff>
    </xdr:to>
    <xdr:sp macro="" textlink="">
      <xdr:nvSpPr>
        <xdr:cNvPr id="197" name="Frame 196">
          <a:extLst>
            <a:ext uri="{FF2B5EF4-FFF2-40B4-BE49-F238E27FC236}">
              <a16:creationId xmlns:a16="http://schemas.microsoft.com/office/drawing/2014/main" id="{EDD3F1C5-17B5-45BA-BEBE-28C24BFBE0EF}"/>
            </a:ext>
          </a:extLst>
        </xdr:cNvPr>
        <xdr:cNvSpPr/>
      </xdr:nvSpPr>
      <xdr:spPr>
        <a:xfrm>
          <a:off x="0" y="10186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562</xdr:row>
      <xdr:rowOff>177800</xdr:rowOff>
    </xdr:from>
    <xdr:to>
      <xdr:col>0</xdr:col>
      <xdr:colOff>330200</xdr:colOff>
      <xdr:row>564</xdr:row>
      <xdr:rowOff>114300</xdr:rowOff>
    </xdr:to>
    <xdr:sp macro="" textlink="">
      <xdr:nvSpPr>
        <xdr:cNvPr id="198" name="Frame 197">
          <a:extLst>
            <a:ext uri="{FF2B5EF4-FFF2-40B4-BE49-F238E27FC236}">
              <a16:creationId xmlns:a16="http://schemas.microsoft.com/office/drawing/2014/main" id="{867A8A7E-F469-41C0-9B53-F63B34F84413}"/>
            </a:ext>
          </a:extLst>
        </xdr:cNvPr>
        <xdr:cNvSpPr/>
      </xdr:nvSpPr>
      <xdr:spPr>
        <a:xfrm>
          <a:off x="6350" y="8460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323850</xdr:colOff>
      <xdr:row>566</xdr:row>
      <xdr:rowOff>120650</xdr:rowOff>
    </xdr:to>
    <xdr:sp macro="" textlink="">
      <xdr:nvSpPr>
        <xdr:cNvPr id="199" name="Frame 198">
          <a:extLst>
            <a:ext uri="{FF2B5EF4-FFF2-40B4-BE49-F238E27FC236}">
              <a16:creationId xmlns:a16="http://schemas.microsoft.com/office/drawing/2014/main" id="{241A2A79-C921-48BE-B1EA-335713981641}"/>
            </a:ext>
          </a:extLst>
        </xdr:cNvPr>
        <xdr:cNvSpPr/>
      </xdr:nvSpPr>
      <xdr:spPr>
        <a:xfrm>
          <a:off x="0" y="8497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567</xdr:row>
      <xdr:rowOff>0</xdr:rowOff>
    </xdr:from>
    <xdr:to>
      <xdr:col>0</xdr:col>
      <xdr:colOff>323850</xdr:colOff>
      <xdr:row>568</xdr:row>
      <xdr:rowOff>120650</xdr:rowOff>
    </xdr:to>
    <xdr:sp macro="" textlink="">
      <xdr:nvSpPr>
        <xdr:cNvPr id="200" name="Frame 199">
          <a:extLst>
            <a:ext uri="{FF2B5EF4-FFF2-40B4-BE49-F238E27FC236}">
              <a16:creationId xmlns:a16="http://schemas.microsoft.com/office/drawing/2014/main" id="{640CC05D-5694-4FD0-A56A-5EAEAA1C25D1}"/>
            </a:ext>
          </a:extLst>
        </xdr:cNvPr>
        <xdr:cNvSpPr/>
      </xdr:nvSpPr>
      <xdr:spPr>
        <a:xfrm>
          <a:off x="0" y="8534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569</xdr:row>
      <xdr:rowOff>0</xdr:rowOff>
    </xdr:from>
    <xdr:to>
      <xdr:col>0</xdr:col>
      <xdr:colOff>323850</xdr:colOff>
      <xdr:row>570</xdr:row>
      <xdr:rowOff>120650</xdr:rowOff>
    </xdr:to>
    <xdr:sp macro="" textlink="">
      <xdr:nvSpPr>
        <xdr:cNvPr id="201" name="Frame 200">
          <a:extLst>
            <a:ext uri="{FF2B5EF4-FFF2-40B4-BE49-F238E27FC236}">
              <a16:creationId xmlns:a16="http://schemas.microsoft.com/office/drawing/2014/main" id="{33496B8F-DEE1-4D46-8FE9-92CAB2E2C58C}"/>
            </a:ext>
          </a:extLst>
        </xdr:cNvPr>
        <xdr:cNvSpPr/>
      </xdr:nvSpPr>
      <xdr:spPr>
        <a:xfrm>
          <a:off x="0" y="8571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323850</xdr:colOff>
      <xdr:row>572</xdr:row>
      <xdr:rowOff>120650</xdr:rowOff>
    </xdr:to>
    <xdr:sp macro="" textlink="">
      <xdr:nvSpPr>
        <xdr:cNvPr id="202" name="Frame 201">
          <a:extLst>
            <a:ext uri="{FF2B5EF4-FFF2-40B4-BE49-F238E27FC236}">
              <a16:creationId xmlns:a16="http://schemas.microsoft.com/office/drawing/2014/main" id="{E60AB4FE-F304-456F-9111-48A3B8ED2281}"/>
            </a:ext>
          </a:extLst>
        </xdr:cNvPr>
        <xdr:cNvSpPr/>
      </xdr:nvSpPr>
      <xdr:spPr>
        <a:xfrm>
          <a:off x="0" y="8608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589</xdr:row>
      <xdr:rowOff>177800</xdr:rowOff>
    </xdr:from>
    <xdr:to>
      <xdr:col>0</xdr:col>
      <xdr:colOff>330200</xdr:colOff>
      <xdr:row>591</xdr:row>
      <xdr:rowOff>114300</xdr:rowOff>
    </xdr:to>
    <xdr:sp macro="" textlink="">
      <xdr:nvSpPr>
        <xdr:cNvPr id="211" name="Frame 210">
          <a:extLst>
            <a:ext uri="{FF2B5EF4-FFF2-40B4-BE49-F238E27FC236}">
              <a16:creationId xmlns:a16="http://schemas.microsoft.com/office/drawing/2014/main" id="{7AF05C49-D3EA-4D6D-B358-84B54B3A5BA7}"/>
            </a:ext>
          </a:extLst>
        </xdr:cNvPr>
        <xdr:cNvSpPr/>
      </xdr:nvSpPr>
      <xdr:spPr>
        <a:xfrm>
          <a:off x="6350" y="8460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592</xdr:row>
      <xdr:rowOff>0</xdr:rowOff>
    </xdr:from>
    <xdr:to>
      <xdr:col>0</xdr:col>
      <xdr:colOff>323850</xdr:colOff>
      <xdr:row>593</xdr:row>
      <xdr:rowOff>120650</xdr:rowOff>
    </xdr:to>
    <xdr:sp macro="" textlink="">
      <xdr:nvSpPr>
        <xdr:cNvPr id="212" name="Frame 211">
          <a:extLst>
            <a:ext uri="{FF2B5EF4-FFF2-40B4-BE49-F238E27FC236}">
              <a16:creationId xmlns:a16="http://schemas.microsoft.com/office/drawing/2014/main" id="{D7525D21-840A-47DA-9C05-6D438028AD8E}"/>
            </a:ext>
          </a:extLst>
        </xdr:cNvPr>
        <xdr:cNvSpPr/>
      </xdr:nvSpPr>
      <xdr:spPr>
        <a:xfrm>
          <a:off x="0" y="84975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594</xdr:row>
      <xdr:rowOff>0</xdr:rowOff>
    </xdr:from>
    <xdr:to>
      <xdr:col>0</xdr:col>
      <xdr:colOff>323850</xdr:colOff>
      <xdr:row>595</xdr:row>
      <xdr:rowOff>120650</xdr:rowOff>
    </xdr:to>
    <xdr:sp macro="" textlink="">
      <xdr:nvSpPr>
        <xdr:cNvPr id="213" name="Frame 212">
          <a:extLst>
            <a:ext uri="{FF2B5EF4-FFF2-40B4-BE49-F238E27FC236}">
              <a16:creationId xmlns:a16="http://schemas.microsoft.com/office/drawing/2014/main" id="{20185B36-4D74-4307-BCF2-F4680CD046AA}"/>
            </a:ext>
          </a:extLst>
        </xdr:cNvPr>
        <xdr:cNvSpPr/>
      </xdr:nvSpPr>
      <xdr:spPr>
        <a:xfrm>
          <a:off x="0" y="85344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596</xdr:row>
      <xdr:rowOff>0</xdr:rowOff>
    </xdr:from>
    <xdr:to>
      <xdr:col>0</xdr:col>
      <xdr:colOff>323850</xdr:colOff>
      <xdr:row>597</xdr:row>
      <xdr:rowOff>120650</xdr:rowOff>
    </xdr:to>
    <xdr:sp macro="" textlink="">
      <xdr:nvSpPr>
        <xdr:cNvPr id="214" name="Frame 213">
          <a:extLst>
            <a:ext uri="{FF2B5EF4-FFF2-40B4-BE49-F238E27FC236}">
              <a16:creationId xmlns:a16="http://schemas.microsoft.com/office/drawing/2014/main" id="{53BEAF6E-171E-46B6-AE76-857295532451}"/>
            </a:ext>
          </a:extLst>
        </xdr:cNvPr>
        <xdr:cNvSpPr/>
      </xdr:nvSpPr>
      <xdr:spPr>
        <a:xfrm>
          <a:off x="0" y="85712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598</xdr:row>
      <xdr:rowOff>0</xdr:rowOff>
    </xdr:from>
    <xdr:to>
      <xdr:col>0</xdr:col>
      <xdr:colOff>323850</xdr:colOff>
      <xdr:row>599</xdr:row>
      <xdr:rowOff>120650</xdr:rowOff>
    </xdr:to>
    <xdr:sp macro="" textlink="">
      <xdr:nvSpPr>
        <xdr:cNvPr id="215" name="Frame 214">
          <a:extLst>
            <a:ext uri="{FF2B5EF4-FFF2-40B4-BE49-F238E27FC236}">
              <a16:creationId xmlns:a16="http://schemas.microsoft.com/office/drawing/2014/main" id="{F50F7D34-FD27-4CAA-86EC-8D5589F12D07}"/>
            </a:ext>
          </a:extLst>
        </xdr:cNvPr>
        <xdr:cNvSpPr/>
      </xdr:nvSpPr>
      <xdr:spPr>
        <a:xfrm>
          <a:off x="0" y="86080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600</xdr:row>
      <xdr:rowOff>0</xdr:rowOff>
    </xdr:from>
    <xdr:to>
      <xdr:col>0</xdr:col>
      <xdr:colOff>323850</xdr:colOff>
      <xdr:row>601</xdr:row>
      <xdr:rowOff>120650</xdr:rowOff>
    </xdr:to>
    <xdr:sp macro="" textlink="">
      <xdr:nvSpPr>
        <xdr:cNvPr id="216" name="Frame 215">
          <a:extLst>
            <a:ext uri="{FF2B5EF4-FFF2-40B4-BE49-F238E27FC236}">
              <a16:creationId xmlns:a16="http://schemas.microsoft.com/office/drawing/2014/main" id="{E41D4BB8-5E8F-4051-B297-4B742B25EA44}"/>
            </a:ext>
          </a:extLst>
        </xdr:cNvPr>
        <xdr:cNvSpPr/>
      </xdr:nvSpPr>
      <xdr:spPr>
        <a:xfrm>
          <a:off x="0" y="86448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602</xdr:row>
      <xdr:rowOff>0</xdr:rowOff>
    </xdr:from>
    <xdr:to>
      <xdr:col>0</xdr:col>
      <xdr:colOff>323850</xdr:colOff>
      <xdr:row>603</xdr:row>
      <xdr:rowOff>120650</xdr:rowOff>
    </xdr:to>
    <xdr:sp macro="" textlink="">
      <xdr:nvSpPr>
        <xdr:cNvPr id="217" name="Frame 216">
          <a:extLst>
            <a:ext uri="{FF2B5EF4-FFF2-40B4-BE49-F238E27FC236}">
              <a16:creationId xmlns:a16="http://schemas.microsoft.com/office/drawing/2014/main" id="{8F631728-7D2B-4B64-91FE-A0130FF04D90}"/>
            </a:ext>
          </a:extLst>
        </xdr:cNvPr>
        <xdr:cNvSpPr/>
      </xdr:nvSpPr>
      <xdr:spPr>
        <a:xfrm>
          <a:off x="0" y="8681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0</xdr:col>
      <xdr:colOff>323850</xdr:colOff>
      <xdr:row>605</xdr:row>
      <xdr:rowOff>120650</xdr:rowOff>
    </xdr:to>
    <xdr:sp macro="" textlink="">
      <xdr:nvSpPr>
        <xdr:cNvPr id="218" name="Frame 217">
          <a:extLst>
            <a:ext uri="{FF2B5EF4-FFF2-40B4-BE49-F238E27FC236}">
              <a16:creationId xmlns:a16="http://schemas.microsoft.com/office/drawing/2014/main" id="{951549B0-07E1-468E-AA1F-EF1128EC9C21}"/>
            </a:ext>
          </a:extLst>
        </xdr:cNvPr>
        <xdr:cNvSpPr/>
      </xdr:nvSpPr>
      <xdr:spPr>
        <a:xfrm>
          <a:off x="0" y="8718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606</xdr:row>
      <xdr:rowOff>0</xdr:rowOff>
    </xdr:from>
    <xdr:to>
      <xdr:col>0</xdr:col>
      <xdr:colOff>323850</xdr:colOff>
      <xdr:row>607</xdr:row>
      <xdr:rowOff>120650</xdr:rowOff>
    </xdr:to>
    <xdr:sp macro="" textlink="">
      <xdr:nvSpPr>
        <xdr:cNvPr id="219" name="Frame 218">
          <a:extLst>
            <a:ext uri="{FF2B5EF4-FFF2-40B4-BE49-F238E27FC236}">
              <a16:creationId xmlns:a16="http://schemas.microsoft.com/office/drawing/2014/main" id="{02602989-3F6D-4B79-BC72-DE232902357B}"/>
            </a:ext>
          </a:extLst>
        </xdr:cNvPr>
        <xdr:cNvSpPr/>
      </xdr:nvSpPr>
      <xdr:spPr>
        <a:xfrm>
          <a:off x="0" y="87553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323850</xdr:colOff>
      <xdr:row>609</xdr:row>
      <xdr:rowOff>120650</xdr:rowOff>
    </xdr:to>
    <xdr:sp macro="" textlink="">
      <xdr:nvSpPr>
        <xdr:cNvPr id="220" name="Frame 219">
          <a:extLst>
            <a:ext uri="{FF2B5EF4-FFF2-40B4-BE49-F238E27FC236}">
              <a16:creationId xmlns:a16="http://schemas.microsoft.com/office/drawing/2014/main" id="{C337C67D-870A-4BAC-BC5D-7C4E57810D44}"/>
            </a:ext>
          </a:extLst>
        </xdr:cNvPr>
        <xdr:cNvSpPr/>
      </xdr:nvSpPr>
      <xdr:spPr>
        <a:xfrm>
          <a:off x="0" y="8792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610</xdr:row>
      <xdr:rowOff>0</xdr:rowOff>
    </xdr:from>
    <xdr:to>
      <xdr:col>0</xdr:col>
      <xdr:colOff>323850</xdr:colOff>
      <xdr:row>611</xdr:row>
      <xdr:rowOff>120650</xdr:rowOff>
    </xdr:to>
    <xdr:sp macro="" textlink="">
      <xdr:nvSpPr>
        <xdr:cNvPr id="221" name="Frame 220">
          <a:extLst>
            <a:ext uri="{FF2B5EF4-FFF2-40B4-BE49-F238E27FC236}">
              <a16:creationId xmlns:a16="http://schemas.microsoft.com/office/drawing/2014/main" id="{5376D9FA-A59A-461E-A18D-5EC675FAF61C}"/>
            </a:ext>
          </a:extLst>
        </xdr:cNvPr>
        <xdr:cNvSpPr/>
      </xdr:nvSpPr>
      <xdr:spPr>
        <a:xfrm>
          <a:off x="0" y="8829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612</xdr:row>
      <xdr:rowOff>0</xdr:rowOff>
    </xdr:from>
    <xdr:to>
      <xdr:col>0</xdr:col>
      <xdr:colOff>323850</xdr:colOff>
      <xdr:row>613</xdr:row>
      <xdr:rowOff>120650</xdr:rowOff>
    </xdr:to>
    <xdr:sp macro="" textlink="">
      <xdr:nvSpPr>
        <xdr:cNvPr id="222" name="Frame 221">
          <a:extLst>
            <a:ext uri="{FF2B5EF4-FFF2-40B4-BE49-F238E27FC236}">
              <a16:creationId xmlns:a16="http://schemas.microsoft.com/office/drawing/2014/main" id="{2729D9C3-B0BD-410E-8D5A-5AD79F5474FF}"/>
            </a:ext>
          </a:extLst>
        </xdr:cNvPr>
        <xdr:cNvSpPr/>
      </xdr:nvSpPr>
      <xdr:spPr>
        <a:xfrm>
          <a:off x="0" y="8865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632</xdr:row>
      <xdr:rowOff>177800</xdr:rowOff>
    </xdr:from>
    <xdr:to>
      <xdr:col>0</xdr:col>
      <xdr:colOff>330200</xdr:colOff>
      <xdr:row>634</xdr:row>
      <xdr:rowOff>114300</xdr:rowOff>
    </xdr:to>
    <xdr:sp macro="" textlink="">
      <xdr:nvSpPr>
        <xdr:cNvPr id="224" name="Frame 223">
          <a:extLst>
            <a:ext uri="{FF2B5EF4-FFF2-40B4-BE49-F238E27FC236}">
              <a16:creationId xmlns:a16="http://schemas.microsoft.com/office/drawing/2014/main" id="{314E4744-FB78-43A5-A044-009A23E69424}"/>
            </a:ext>
          </a:extLst>
        </xdr:cNvPr>
        <xdr:cNvSpPr/>
      </xdr:nvSpPr>
      <xdr:spPr>
        <a:xfrm>
          <a:off x="6350" y="109918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635</xdr:row>
      <xdr:rowOff>0</xdr:rowOff>
    </xdr:from>
    <xdr:to>
      <xdr:col>0</xdr:col>
      <xdr:colOff>323850</xdr:colOff>
      <xdr:row>636</xdr:row>
      <xdr:rowOff>120650</xdr:rowOff>
    </xdr:to>
    <xdr:sp macro="" textlink="">
      <xdr:nvSpPr>
        <xdr:cNvPr id="225" name="Frame 224">
          <a:extLst>
            <a:ext uri="{FF2B5EF4-FFF2-40B4-BE49-F238E27FC236}">
              <a16:creationId xmlns:a16="http://schemas.microsoft.com/office/drawing/2014/main" id="{0A1DD5F6-3748-47EE-A0CA-FF19AA81E232}"/>
            </a:ext>
          </a:extLst>
        </xdr:cNvPr>
        <xdr:cNvSpPr/>
      </xdr:nvSpPr>
      <xdr:spPr>
        <a:xfrm>
          <a:off x="0" y="11029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637</xdr:row>
      <xdr:rowOff>0</xdr:rowOff>
    </xdr:from>
    <xdr:to>
      <xdr:col>0</xdr:col>
      <xdr:colOff>323850</xdr:colOff>
      <xdr:row>638</xdr:row>
      <xdr:rowOff>120650</xdr:rowOff>
    </xdr:to>
    <xdr:sp macro="" textlink="">
      <xdr:nvSpPr>
        <xdr:cNvPr id="226" name="Frame 225">
          <a:extLst>
            <a:ext uri="{FF2B5EF4-FFF2-40B4-BE49-F238E27FC236}">
              <a16:creationId xmlns:a16="http://schemas.microsoft.com/office/drawing/2014/main" id="{0C1D7790-8A90-4E25-9924-8ACD58CBCB9E}"/>
            </a:ext>
          </a:extLst>
        </xdr:cNvPr>
        <xdr:cNvSpPr/>
      </xdr:nvSpPr>
      <xdr:spPr>
        <a:xfrm>
          <a:off x="0" y="11066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639</xdr:row>
      <xdr:rowOff>0</xdr:rowOff>
    </xdr:from>
    <xdr:to>
      <xdr:col>0</xdr:col>
      <xdr:colOff>323850</xdr:colOff>
      <xdr:row>640</xdr:row>
      <xdr:rowOff>120650</xdr:rowOff>
    </xdr:to>
    <xdr:sp macro="" textlink="">
      <xdr:nvSpPr>
        <xdr:cNvPr id="227" name="Frame 226">
          <a:extLst>
            <a:ext uri="{FF2B5EF4-FFF2-40B4-BE49-F238E27FC236}">
              <a16:creationId xmlns:a16="http://schemas.microsoft.com/office/drawing/2014/main" id="{00AAC3F1-6C50-4383-816A-4E096F26E008}"/>
            </a:ext>
          </a:extLst>
        </xdr:cNvPr>
        <xdr:cNvSpPr/>
      </xdr:nvSpPr>
      <xdr:spPr>
        <a:xfrm>
          <a:off x="0" y="11102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641</xdr:row>
      <xdr:rowOff>0</xdr:rowOff>
    </xdr:from>
    <xdr:to>
      <xdr:col>0</xdr:col>
      <xdr:colOff>323850</xdr:colOff>
      <xdr:row>642</xdr:row>
      <xdr:rowOff>120650</xdr:rowOff>
    </xdr:to>
    <xdr:sp macro="" textlink="">
      <xdr:nvSpPr>
        <xdr:cNvPr id="228" name="Frame 227">
          <a:extLst>
            <a:ext uri="{FF2B5EF4-FFF2-40B4-BE49-F238E27FC236}">
              <a16:creationId xmlns:a16="http://schemas.microsoft.com/office/drawing/2014/main" id="{D0F5252F-5997-4454-93A0-C847D4990197}"/>
            </a:ext>
          </a:extLst>
        </xdr:cNvPr>
        <xdr:cNvSpPr/>
      </xdr:nvSpPr>
      <xdr:spPr>
        <a:xfrm>
          <a:off x="0" y="11139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643</xdr:row>
      <xdr:rowOff>0</xdr:rowOff>
    </xdr:from>
    <xdr:to>
      <xdr:col>0</xdr:col>
      <xdr:colOff>323850</xdr:colOff>
      <xdr:row>644</xdr:row>
      <xdr:rowOff>120650</xdr:rowOff>
    </xdr:to>
    <xdr:sp macro="" textlink="">
      <xdr:nvSpPr>
        <xdr:cNvPr id="229" name="Frame 228">
          <a:extLst>
            <a:ext uri="{FF2B5EF4-FFF2-40B4-BE49-F238E27FC236}">
              <a16:creationId xmlns:a16="http://schemas.microsoft.com/office/drawing/2014/main" id="{69EFBA3E-D461-4BFC-BD35-AF0618C9D494}"/>
            </a:ext>
          </a:extLst>
        </xdr:cNvPr>
        <xdr:cNvSpPr/>
      </xdr:nvSpPr>
      <xdr:spPr>
        <a:xfrm>
          <a:off x="0" y="11176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323850</xdr:colOff>
      <xdr:row>646</xdr:row>
      <xdr:rowOff>120650</xdr:rowOff>
    </xdr:to>
    <xdr:sp macro="" textlink="">
      <xdr:nvSpPr>
        <xdr:cNvPr id="230" name="Frame 229">
          <a:extLst>
            <a:ext uri="{FF2B5EF4-FFF2-40B4-BE49-F238E27FC236}">
              <a16:creationId xmlns:a16="http://schemas.microsoft.com/office/drawing/2014/main" id="{25BAE9B3-C4DA-4A07-9F8A-99596B559C1D}"/>
            </a:ext>
          </a:extLst>
        </xdr:cNvPr>
        <xdr:cNvSpPr/>
      </xdr:nvSpPr>
      <xdr:spPr>
        <a:xfrm>
          <a:off x="0" y="11213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647</xdr:row>
      <xdr:rowOff>0</xdr:rowOff>
    </xdr:from>
    <xdr:to>
      <xdr:col>0</xdr:col>
      <xdr:colOff>323850</xdr:colOff>
      <xdr:row>648</xdr:row>
      <xdr:rowOff>120650</xdr:rowOff>
    </xdr:to>
    <xdr:sp macro="" textlink="">
      <xdr:nvSpPr>
        <xdr:cNvPr id="231" name="Frame 230">
          <a:extLst>
            <a:ext uri="{FF2B5EF4-FFF2-40B4-BE49-F238E27FC236}">
              <a16:creationId xmlns:a16="http://schemas.microsoft.com/office/drawing/2014/main" id="{6D10F585-C879-4CA8-B41C-B849171FAD28}"/>
            </a:ext>
          </a:extLst>
        </xdr:cNvPr>
        <xdr:cNvSpPr/>
      </xdr:nvSpPr>
      <xdr:spPr>
        <a:xfrm>
          <a:off x="0" y="11250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665</xdr:row>
      <xdr:rowOff>177800</xdr:rowOff>
    </xdr:from>
    <xdr:to>
      <xdr:col>0</xdr:col>
      <xdr:colOff>330200</xdr:colOff>
      <xdr:row>667</xdr:row>
      <xdr:rowOff>114300</xdr:rowOff>
    </xdr:to>
    <xdr:sp macro="" textlink="">
      <xdr:nvSpPr>
        <xdr:cNvPr id="237" name="Frame 236">
          <a:extLst>
            <a:ext uri="{FF2B5EF4-FFF2-40B4-BE49-F238E27FC236}">
              <a16:creationId xmlns:a16="http://schemas.microsoft.com/office/drawing/2014/main" id="{CB89B1BE-0607-4813-9BC9-B0F77688803E}"/>
            </a:ext>
          </a:extLst>
        </xdr:cNvPr>
        <xdr:cNvSpPr/>
      </xdr:nvSpPr>
      <xdr:spPr>
        <a:xfrm>
          <a:off x="6350" y="11726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323850</xdr:colOff>
      <xdr:row>669</xdr:row>
      <xdr:rowOff>120650</xdr:rowOff>
    </xdr:to>
    <xdr:sp macro="" textlink="">
      <xdr:nvSpPr>
        <xdr:cNvPr id="238" name="Frame 237">
          <a:extLst>
            <a:ext uri="{FF2B5EF4-FFF2-40B4-BE49-F238E27FC236}">
              <a16:creationId xmlns:a16="http://schemas.microsoft.com/office/drawing/2014/main" id="{A1D631A1-C61F-4E22-9326-EE643C6C21E9}"/>
            </a:ext>
          </a:extLst>
        </xdr:cNvPr>
        <xdr:cNvSpPr/>
      </xdr:nvSpPr>
      <xdr:spPr>
        <a:xfrm>
          <a:off x="0" y="117640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670</xdr:row>
      <xdr:rowOff>0</xdr:rowOff>
    </xdr:from>
    <xdr:to>
      <xdr:col>0</xdr:col>
      <xdr:colOff>323850</xdr:colOff>
      <xdr:row>671</xdr:row>
      <xdr:rowOff>120650</xdr:rowOff>
    </xdr:to>
    <xdr:sp macro="" textlink="">
      <xdr:nvSpPr>
        <xdr:cNvPr id="239" name="Frame 238">
          <a:extLst>
            <a:ext uri="{FF2B5EF4-FFF2-40B4-BE49-F238E27FC236}">
              <a16:creationId xmlns:a16="http://schemas.microsoft.com/office/drawing/2014/main" id="{A68275D1-74C9-4D97-AB8C-532AB2CD8FAE}"/>
            </a:ext>
          </a:extLst>
        </xdr:cNvPr>
        <xdr:cNvSpPr/>
      </xdr:nvSpPr>
      <xdr:spPr>
        <a:xfrm>
          <a:off x="0" y="11800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323850</xdr:colOff>
      <xdr:row>673</xdr:row>
      <xdr:rowOff>120650</xdr:rowOff>
    </xdr:to>
    <xdr:sp macro="" textlink="">
      <xdr:nvSpPr>
        <xdr:cNvPr id="240" name="Frame 239">
          <a:extLst>
            <a:ext uri="{FF2B5EF4-FFF2-40B4-BE49-F238E27FC236}">
              <a16:creationId xmlns:a16="http://schemas.microsoft.com/office/drawing/2014/main" id="{22DE0224-CFDB-4FFF-B413-07B0F3C354BC}"/>
            </a:ext>
          </a:extLst>
        </xdr:cNvPr>
        <xdr:cNvSpPr/>
      </xdr:nvSpPr>
      <xdr:spPr>
        <a:xfrm>
          <a:off x="0" y="118376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690</xdr:row>
      <xdr:rowOff>177800</xdr:rowOff>
    </xdr:from>
    <xdr:to>
      <xdr:col>0</xdr:col>
      <xdr:colOff>330200</xdr:colOff>
      <xdr:row>692</xdr:row>
      <xdr:rowOff>114300</xdr:rowOff>
    </xdr:to>
    <xdr:sp macro="" textlink="">
      <xdr:nvSpPr>
        <xdr:cNvPr id="245" name="Frame 244">
          <a:extLst>
            <a:ext uri="{FF2B5EF4-FFF2-40B4-BE49-F238E27FC236}">
              <a16:creationId xmlns:a16="http://schemas.microsoft.com/office/drawing/2014/main" id="{0F5245B3-68DB-45FE-9BE3-A05A888EDD77}"/>
            </a:ext>
          </a:extLst>
        </xdr:cNvPr>
        <xdr:cNvSpPr/>
      </xdr:nvSpPr>
      <xdr:spPr>
        <a:xfrm>
          <a:off x="6350" y="109918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693</xdr:row>
      <xdr:rowOff>0</xdr:rowOff>
    </xdr:from>
    <xdr:to>
      <xdr:col>0</xdr:col>
      <xdr:colOff>323850</xdr:colOff>
      <xdr:row>694</xdr:row>
      <xdr:rowOff>120650</xdr:rowOff>
    </xdr:to>
    <xdr:sp macro="" textlink="">
      <xdr:nvSpPr>
        <xdr:cNvPr id="246" name="Frame 245">
          <a:extLst>
            <a:ext uri="{FF2B5EF4-FFF2-40B4-BE49-F238E27FC236}">
              <a16:creationId xmlns:a16="http://schemas.microsoft.com/office/drawing/2014/main" id="{645C18F8-E6B7-4B2D-8698-7ED49078501D}"/>
            </a:ext>
          </a:extLst>
        </xdr:cNvPr>
        <xdr:cNvSpPr/>
      </xdr:nvSpPr>
      <xdr:spPr>
        <a:xfrm>
          <a:off x="0" y="11029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695</xdr:row>
      <xdr:rowOff>0</xdr:rowOff>
    </xdr:from>
    <xdr:to>
      <xdr:col>0</xdr:col>
      <xdr:colOff>323850</xdr:colOff>
      <xdr:row>696</xdr:row>
      <xdr:rowOff>120650</xdr:rowOff>
    </xdr:to>
    <xdr:sp macro="" textlink="">
      <xdr:nvSpPr>
        <xdr:cNvPr id="247" name="Frame 246">
          <a:extLst>
            <a:ext uri="{FF2B5EF4-FFF2-40B4-BE49-F238E27FC236}">
              <a16:creationId xmlns:a16="http://schemas.microsoft.com/office/drawing/2014/main" id="{C1D8C930-9973-4605-AA42-9F0F0620334F}"/>
            </a:ext>
          </a:extLst>
        </xdr:cNvPr>
        <xdr:cNvSpPr/>
      </xdr:nvSpPr>
      <xdr:spPr>
        <a:xfrm>
          <a:off x="0" y="11066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697</xdr:row>
      <xdr:rowOff>0</xdr:rowOff>
    </xdr:from>
    <xdr:to>
      <xdr:col>0</xdr:col>
      <xdr:colOff>323850</xdr:colOff>
      <xdr:row>698</xdr:row>
      <xdr:rowOff>120650</xdr:rowOff>
    </xdr:to>
    <xdr:sp macro="" textlink="">
      <xdr:nvSpPr>
        <xdr:cNvPr id="248" name="Frame 247">
          <a:extLst>
            <a:ext uri="{FF2B5EF4-FFF2-40B4-BE49-F238E27FC236}">
              <a16:creationId xmlns:a16="http://schemas.microsoft.com/office/drawing/2014/main" id="{7F41DCD3-3943-4AFE-A2DE-6E02A0E5B4C2}"/>
            </a:ext>
          </a:extLst>
        </xdr:cNvPr>
        <xdr:cNvSpPr/>
      </xdr:nvSpPr>
      <xdr:spPr>
        <a:xfrm>
          <a:off x="0" y="11102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323850</xdr:colOff>
      <xdr:row>700</xdr:row>
      <xdr:rowOff>120650</xdr:rowOff>
    </xdr:to>
    <xdr:sp macro="" textlink="">
      <xdr:nvSpPr>
        <xdr:cNvPr id="249" name="Frame 248">
          <a:extLst>
            <a:ext uri="{FF2B5EF4-FFF2-40B4-BE49-F238E27FC236}">
              <a16:creationId xmlns:a16="http://schemas.microsoft.com/office/drawing/2014/main" id="{D44E26F1-3310-4008-8FF0-E7AB30A59005}"/>
            </a:ext>
          </a:extLst>
        </xdr:cNvPr>
        <xdr:cNvSpPr/>
      </xdr:nvSpPr>
      <xdr:spPr>
        <a:xfrm>
          <a:off x="0" y="11139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701</xdr:row>
      <xdr:rowOff>0</xdr:rowOff>
    </xdr:from>
    <xdr:to>
      <xdr:col>0</xdr:col>
      <xdr:colOff>323850</xdr:colOff>
      <xdr:row>702</xdr:row>
      <xdr:rowOff>120650</xdr:rowOff>
    </xdr:to>
    <xdr:sp macro="" textlink="">
      <xdr:nvSpPr>
        <xdr:cNvPr id="250" name="Frame 249">
          <a:extLst>
            <a:ext uri="{FF2B5EF4-FFF2-40B4-BE49-F238E27FC236}">
              <a16:creationId xmlns:a16="http://schemas.microsoft.com/office/drawing/2014/main" id="{F1DB8EFA-64AA-4539-8D1A-86E52D15E41A}"/>
            </a:ext>
          </a:extLst>
        </xdr:cNvPr>
        <xdr:cNvSpPr/>
      </xdr:nvSpPr>
      <xdr:spPr>
        <a:xfrm>
          <a:off x="0" y="11176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703</xdr:row>
      <xdr:rowOff>0</xdr:rowOff>
    </xdr:from>
    <xdr:to>
      <xdr:col>0</xdr:col>
      <xdr:colOff>323850</xdr:colOff>
      <xdr:row>704</xdr:row>
      <xdr:rowOff>120650</xdr:rowOff>
    </xdr:to>
    <xdr:sp macro="" textlink="">
      <xdr:nvSpPr>
        <xdr:cNvPr id="251" name="Frame 250">
          <a:extLst>
            <a:ext uri="{FF2B5EF4-FFF2-40B4-BE49-F238E27FC236}">
              <a16:creationId xmlns:a16="http://schemas.microsoft.com/office/drawing/2014/main" id="{91522BD2-298B-4FA3-8F6E-80CA5BCE10DB}"/>
            </a:ext>
          </a:extLst>
        </xdr:cNvPr>
        <xdr:cNvSpPr/>
      </xdr:nvSpPr>
      <xdr:spPr>
        <a:xfrm>
          <a:off x="0" y="11213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705</xdr:row>
      <xdr:rowOff>0</xdr:rowOff>
    </xdr:from>
    <xdr:to>
      <xdr:col>0</xdr:col>
      <xdr:colOff>323850</xdr:colOff>
      <xdr:row>706</xdr:row>
      <xdr:rowOff>120650</xdr:rowOff>
    </xdr:to>
    <xdr:sp macro="" textlink="">
      <xdr:nvSpPr>
        <xdr:cNvPr id="252" name="Frame 251">
          <a:extLst>
            <a:ext uri="{FF2B5EF4-FFF2-40B4-BE49-F238E27FC236}">
              <a16:creationId xmlns:a16="http://schemas.microsoft.com/office/drawing/2014/main" id="{E76364C8-D3BA-4F8B-A497-22B10CF70C93}"/>
            </a:ext>
          </a:extLst>
        </xdr:cNvPr>
        <xdr:cNvSpPr/>
      </xdr:nvSpPr>
      <xdr:spPr>
        <a:xfrm>
          <a:off x="0" y="11250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707</xdr:row>
      <xdr:rowOff>0</xdr:rowOff>
    </xdr:from>
    <xdr:to>
      <xdr:col>0</xdr:col>
      <xdr:colOff>323850</xdr:colOff>
      <xdr:row>708</xdr:row>
      <xdr:rowOff>120650</xdr:rowOff>
    </xdr:to>
    <xdr:sp macro="" textlink="">
      <xdr:nvSpPr>
        <xdr:cNvPr id="253" name="Frame 252">
          <a:extLst>
            <a:ext uri="{FF2B5EF4-FFF2-40B4-BE49-F238E27FC236}">
              <a16:creationId xmlns:a16="http://schemas.microsoft.com/office/drawing/2014/main" id="{FBBD9812-28B5-4423-B546-F31937546C23}"/>
            </a:ext>
          </a:extLst>
        </xdr:cNvPr>
        <xdr:cNvSpPr/>
      </xdr:nvSpPr>
      <xdr:spPr>
        <a:xfrm>
          <a:off x="0" y="11287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709</xdr:row>
      <xdr:rowOff>0</xdr:rowOff>
    </xdr:from>
    <xdr:to>
      <xdr:col>0</xdr:col>
      <xdr:colOff>323850</xdr:colOff>
      <xdr:row>710</xdr:row>
      <xdr:rowOff>120650</xdr:rowOff>
    </xdr:to>
    <xdr:sp macro="" textlink="">
      <xdr:nvSpPr>
        <xdr:cNvPr id="254" name="Frame 253">
          <a:extLst>
            <a:ext uri="{FF2B5EF4-FFF2-40B4-BE49-F238E27FC236}">
              <a16:creationId xmlns:a16="http://schemas.microsoft.com/office/drawing/2014/main" id="{099D8272-CA23-4AB1-8969-103962293DC9}"/>
            </a:ext>
          </a:extLst>
        </xdr:cNvPr>
        <xdr:cNvSpPr/>
      </xdr:nvSpPr>
      <xdr:spPr>
        <a:xfrm>
          <a:off x="0" y="11323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711</xdr:row>
      <xdr:rowOff>0</xdr:rowOff>
    </xdr:from>
    <xdr:to>
      <xdr:col>0</xdr:col>
      <xdr:colOff>323850</xdr:colOff>
      <xdr:row>712</xdr:row>
      <xdr:rowOff>120650</xdr:rowOff>
    </xdr:to>
    <xdr:sp macro="" textlink="">
      <xdr:nvSpPr>
        <xdr:cNvPr id="255" name="Frame 254">
          <a:extLst>
            <a:ext uri="{FF2B5EF4-FFF2-40B4-BE49-F238E27FC236}">
              <a16:creationId xmlns:a16="http://schemas.microsoft.com/office/drawing/2014/main" id="{7A8D9C93-C675-4314-94F8-B69B71010DD4}"/>
            </a:ext>
          </a:extLst>
        </xdr:cNvPr>
        <xdr:cNvSpPr/>
      </xdr:nvSpPr>
      <xdr:spPr>
        <a:xfrm>
          <a:off x="0" y="11360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725</xdr:row>
      <xdr:rowOff>177800</xdr:rowOff>
    </xdr:from>
    <xdr:to>
      <xdr:col>0</xdr:col>
      <xdr:colOff>330200</xdr:colOff>
      <xdr:row>727</xdr:row>
      <xdr:rowOff>114300</xdr:rowOff>
    </xdr:to>
    <xdr:sp macro="" textlink="">
      <xdr:nvSpPr>
        <xdr:cNvPr id="258" name="Frame 257">
          <a:extLst>
            <a:ext uri="{FF2B5EF4-FFF2-40B4-BE49-F238E27FC236}">
              <a16:creationId xmlns:a16="http://schemas.microsoft.com/office/drawing/2014/main" id="{C8F461BD-A950-40EC-B595-1301C30E110C}"/>
            </a:ext>
          </a:extLst>
        </xdr:cNvPr>
        <xdr:cNvSpPr/>
      </xdr:nvSpPr>
      <xdr:spPr>
        <a:xfrm>
          <a:off x="6350" y="12827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728</xdr:row>
      <xdr:rowOff>0</xdr:rowOff>
    </xdr:from>
    <xdr:to>
      <xdr:col>0</xdr:col>
      <xdr:colOff>323850</xdr:colOff>
      <xdr:row>729</xdr:row>
      <xdr:rowOff>120650</xdr:rowOff>
    </xdr:to>
    <xdr:sp macro="" textlink="">
      <xdr:nvSpPr>
        <xdr:cNvPr id="259" name="Frame 258">
          <a:extLst>
            <a:ext uri="{FF2B5EF4-FFF2-40B4-BE49-F238E27FC236}">
              <a16:creationId xmlns:a16="http://schemas.microsoft.com/office/drawing/2014/main" id="{9E70D272-BB0B-4935-8BAE-97EA34365F40}"/>
            </a:ext>
          </a:extLst>
        </xdr:cNvPr>
        <xdr:cNvSpPr/>
      </xdr:nvSpPr>
      <xdr:spPr>
        <a:xfrm>
          <a:off x="0" y="12865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454</xdr:row>
      <xdr:rowOff>0</xdr:rowOff>
    </xdr:from>
    <xdr:to>
      <xdr:col>0</xdr:col>
      <xdr:colOff>323850</xdr:colOff>
      <xdr:row>455</xdr:row>
      <xdr:rowOff>127000</xdr:rowOff>
    </xdr:to>
    <xdr:sp macro="" textlink="">
      <xdr:nvSpPr>
        <xdr:cNvPr id="185" name="Frame 184">
          <a:extLst>
            <a:ext uri="{FF2B5EF4-FFF2-40B4-BE49-F238E27FC236}">
              <a16:creationId xmlns:a16="http://schemas.microsoft.com/office/drawing/2014/main" id="{0F58DB02-FCE9-499C-BE68-256615594F54}"/>
            </a:ext>
          </a:extLst>
        </xdr:cNvPr>
        <xdr:cNvSpPr/>
      </xdr:nvSpPr>
      <xdr:spPr>
        <a:xfrm>
          <a:off x="0" y="87953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323850</xdr:colOff>
      <xdr:row>457</xdr:row>
      <xdr:rowOff>127000</xdr:rowOff>
    </xdr:to>
    <xdr:sp macro="" textlink="">
      <xdr:nvSpPr>
        <xdr:cNvPr id="186" name="Frame 185">
          <a:extLst>
            <a:ext uri="{FF2B5EF4-FFF2-40B4-BE49-F238E27FC236}">
              <a16:creationId xmlns:a16="http://schemas.microsoft.com/office/drawing/2014/main" id="{E10ED5E7-30B0-4FEC-AC4F-1112574E5369}"/>
            </a:ext>
          </a:extLst>
        </xdr:cNvPr>
        <xdr:cNvSpPr/>
      </xdr:nvSpPr>
      <xdr:spPr>
        <a:xfrm>
          <a:off x="0" y="883348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614</xdr:row>
      <xdr:rowOff>0</xdr:rowOff>
    </xdr:from>
    <xdr:to>
      <xdr:col>0</xdr:col>
      <xdr:colOff>323850</xdr:colOff>
      <xdr:row>615</xdr:row>
      <xdr:rowOff>120650</xdr:rowOff>
    </xdr:to>
    <xdr:sp macro="" textlink="">
      <xdr:nvSpPr>
        <xdr:cNvPr id="3" name="Frame 221">
          <a:extLst>
            <a:ext uri="{FF2B5EF4-FFF2-40B4-BE49-F238E27FC236}">
              <a16:creationId xmlns:a16="http://schemas.microsoft.com/office/drawing/2014/main" id="{20B8B078-3B5F-45D5-AEBD-1C4C2B1A82DA}"/>
            </a:ext>
            <a:ext uri="{147F2762-F138-4A5C-976F-8EAC2B608ADB}">
              <a16:predDERef xmlns:a16="http://schemas.microsoft.com/office/drawing/2014/main" pred="{E10ED5E7-30B0-4FEC-AC4F-1112574E5369}"/>
            </a:ext>
          </a:extLst>
        </xdr:cNvPr>
        <xdr:cNvSpPr/>
      </xdr:nvSpPr>
      <xdr:spPr>
        <a:xfrm>
          <a:off x="0" y="1195197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616</xdr:row>
      <xdr:rowOff>0</xdr:rowOff>
    </xdr:from>
    <xdr:to>
      <xdr:col>0</xdr:col>
      <xdr:colOff>323850</xdr:colOff>
      <xdr:row>617</xdr:row>
      <xdr:rowOff>120650</xdr:rowOff>
    </xdr:to>
    <xdr:sp macro="" textlink="">
      <xdr:nvSpPr>
        <xdr:cNvPr id="4" name="Frame 221">
          <a:extLst>
            <a:ext uri="{FF2B5EF4-FFF2-40B4-BE49-F238E27FC236}">
              <a16:creationId xmlns:a16="http://schemas.microsoft.com/office/drawing/2014/main" id="{3CCDBCE6-930D-4E36-9CF4-3B86E591F828}"/>
            </a:ext>
            <a:ext uri="{147F2762-F138-4A5C-976F-8EAC2B608ADB}">
              <a16:predDERef xmlns:a16="http://schemas.microsoft.com/office/drawing/2014/main" pred="{20B8B078-3B5F-45D5-AEBD-1C4C2B1A82DA}"/>
            </a:ext>
          </a:extLst>
        </xdr:cNvPr>
        <xdr:cNvSpPr/>
      </xdr:nvSpPr>
      <xdr:spPr>
        <a:xfrm>
          <a:off x="0" y="1199007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618</xdr:row>
      <xdr:rowOff>0</xdr:rowOff>
    </xdr:from>
    <xdr:to>
      <xdr:col>0</xdr:col>
      <xdr:colOff>323850</xdr:colOff>
      <xdr:row>619</xdr:row>
      <xdr:rowOff>120650</xdr:rowOff>
    </xdr:to>
    <xdr:sp macro="" textlink="">
      <xdr:nvSpPr>
        <xdr:cNvPr id="5" name="Frame 221">
          <a:extLst>
            <a:ext uri="{FF2B5EF4-FFF2-40B4-BE49-F238E27FC236}">
              <a16:creationId xmlns:a16="http://schemas.microsoft.com/office/drawing/2014/main" id="{74457440-1A58-4344-9B30-C9A7124C2608}"/>
            </a:ext>
            <a:ext uri="{147F2762-F138-4A5C-976F-8EAC2B608ADB}">
              <a16:predDERef xmlns:a16="http://schemas.microsoft.com/office/drawing/2014/main" pred="{3CCDBCE6-930D-4E36-9CF4-3B86E591F828}"/>
            </a:ext>
          </a:extLst>
        </xdr:cNvPr>
        <xdr:cNvSpPr/>
      </xdr:nvSpPr>
      <xdr:spPr>
        <a:xfrm>
          <a:off x="0" y="1202817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756</xdr:row>
      <xdr:rowOff>177800</xdr:rowOff>
    </xdr:from>
    <xdr:to>
      <xdr:col>0</xdr:col>
      <xdr:colOff>330200</xdr:colOff>
      <xdr:row>758</xdr:row>
      <xdr:rowOff>114300</xdr:rowOff>
    </xdr:to>
    <xdr:sp macro="" textlink="">
      <xdr:nvSpPr>
        <xdr:cNvPr id="187" name="Frame 257">
          <a:extLst>
            <a:ext uri="{FF2B5EF4-FFF2-40B4-BE49-F238E27FC236}">
              <a16:creationId xmlns:a16="http://schemas.microsoft.com/office/drawing/2014/main" id="{AC8CF405-CB47-4425-9010-390E4C938B40}"/>
            </a:ext>
            <a:ext uri="{147F2762-F138-4A5C-976F-8EAC2B608ADB}">
              <a16:predDERef xmlns:a16="http://schemas.microsoft.com/office/drawing/2014/main" pred="{74457440-1A58-4344-9B30-C9A7124C2608}"/>
            </a:ext>
          </a:extLst>
        </xdr:cNvPr>
        <xdr:cNvSpPr/>
      </xdr:nvSpPr>
      <xdr:spPr>
        <a:xfrm>
          <a:off x="6350" y="1399571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759</xdr:row>
      <xdr:rowOff>0</xdr:rowOff>
    </xdr:from>
    <xdr:to>
      <xdr:col>0</xdr:col>
      <xdr:colOff>323850</xdr:colOff>
      <xdr:row>760</xdr:row>
      <xdr:rowOff>120650</xdr:rowOff>
    </xdr:to>
    <xdr:sp macro="" textlink="">
      <xdr:nvSpPr>
        <xdr:cNvPr id="188" name="Frame 258">
          <a:extLst>
            <a:ext uri="{FF2B5EF4-FFF2-40B4-BE49-F238E27FC236}">
              <a16:creationId xmlns:a16="http://schemas.microsoft.com/office/drawing/2014/main" id="{F771EFAF-AD14-455A-ADFB-2654A3A885EA}"/>
            </a:ext>
            <a:ext uri="{147F2762-F138-4A5C-976F-8EAC2B608ADB}">
              <a16:predDERef xmlns:a16="http://schemas.microsoft.com/office/drawing/2014/main" pred="{AC8CF405-CB47-4425-9010-390E4C938B40}"/>
            </a:ext>
          </a:extLst>
        </xdr:cNvPr>
        <xdr:cNvSpPr/>
      </xdr:nvSpPr>
      <xdr:spPr>
        <a:xfrm>
          <a:off x="0" y="1403508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761</xdr:row>
      <xdr:rowOff>0</xdr:rowOff>
    </xdr:from>
    <xdr:to>
      <xdr:col>0</xdr:col>
      <xdr:colOff>323850</xdr:colOff>
      <xdr:row>762</xdr:row>
      <xdr:rowOff>120650</xdr:rowOff>
    </xdr:to>
    <xdr:sp macro="" textlink="">
      <xdr:nvSpPr>
        <xdr:cNvPr id="6" name="Frame 258">
          <a:extLst>
            <a:ext uri="{FF2B5EF4-FFF2-40B4-BE49-F238E27FC236}">
              <a16:creationId xmlns:a16="http://schemas.microsoft.com/office/drawing/2014/main" id="{48152535-83F6-49C9-828C-18770298653D}"/>
            </a:ext>
            <a:ext uri="{147F2762-F138-4A5C-976F-8EAC2B608ADB}">
              <a16:predDERef xmlns:a16="http://schemas.microsoft.com/office/drawing/2014/main" pred="{F771EFAF-AD14-455A-ADFB-2654A3A885EA}"/>
            </a:ext>
          </a:extLst>
        </xdr:cNvPr>
        <xdr:cNvSpPr/>
      </xdr:nvSpPr>
      <xdr:spPr>
        <a:xfrm>
          <a:off x="0" y="1468183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777</xdr:row>
      <xdr:rowOff>177800</xdr:rowOff>
    </xdr:from>
    <xdr:to>
      <xdr:col>0</xdr:col>
      <xdr:colOff>330200</xdr:colOff>
      <xdr:row>779</xdr:row>
      <xdr:rowOff>114300</xdr:rowOff>
    </xdr:to>
    <xdr:sp macro="" textlink="">
      <xdr:nvSpPr>
        <xdr:cNvPr id="190" name="Frame 257">
          <a:extLst>
            <a:ext uri="{FF2B5EF4-FFF2-40B4-BE49-F238E27FC236}">
              <a16:creationId xmlns:a16="http://schemas.microsoft.com/office/drawing/2014/main" id="{6C904224-36B0-489F-BE68-3C0C966D532E}"/>
            </a:ext>
            <a:ext uri="{147F2762-F138-4A5C-976F-8EAC2B608ADB}">
              <a16:predDERef xmlns:a16="http://schemas.microsoft.com/office/drawing/2014/main" pred="{48152535-83F6-49C9-828C-18770298653D}"/>
            </a:ext>
          </a:extLst>
        </xdr:cNvPr>
        <xdr:cNvSpPr/>
      </xdr:nvSpPr>
      <xdr:spPr>
        <a:xfrm>
          <a:off x="6350" y="1399571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780</xdr:row>
      <xdr:rowOff>0</xdr:rowOff>
    </xdr:from>
    <xdr:to>
      <xdr:col>0</xdr:col>
      <xdr:colOff>323850</xdr:colOff>
      <xdr:row>781</xdr:row>
      <xdr:rowOff>120650</xdr:rowOff>
    </xdr:to>
    <xdr:sp macro="" textlink="">
      <xdr:nvSpPr>
        <xdr:cNvPr id="191" name="Frame 258">
          <a:extLst>
            <a:ext uri="{FF2B5EF4-FFF2-40B4-BE49-F238E27FC236}">
              <a16:creationId xmlns:a16="http://schemas.microsoft.com/office/drawing/2014/main" id="{5E050F43-A27D-46F9-AB77-937CCA2BB7CC}"/>
            </a:ext>
            <a:ext uri="{147F2762-F138-4A5C-976F-8EAC2B608ADB}">
              <a16:predDERef xmlns:a16="http://schemas.microsoft.com/office/drawing/2014/main" pred="{6C904224-36B0-489F-BE68-3C0C966D532E}"/>
            </a:ext>
          </a:extLst>
        </xdr:cNvPr>
        <xdr:cNvSpPr/>
      </xdr:nvSpPr>
      <xdr:spPr>
        <a:xfrm>
          <a:off x="0" y="1403508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782</xdr:row>
      <xdr:rowOff>0</xdr:rowOff>
    </xdr:from>
    <xdr:to>
      <xdr:col>0</xdr:col>
      <xdr:colOff>323850</xdr:colOff>
      <xdr:row>783</xdr:row>
      <xdr:rowOff>120650</xdr:rowOff>
    </xdr:to>
    <xdr:sp macro="" textlink="">
      <xdr:nvSpPr>
        <xdr:cNvPr id="7" name="Frame 258">
          <a:extLst>
            <a:ext uri="{FF2B5EF4-FFF2-40B4-BE49-F238E27FC236}">
              <a16:creationId xmlns:a16="http://schemas.microsoft.com/office/drawing/2014/main" id="{6E538421-DAA2-409C-BDFC-EDFAB1E91D38}"/>
            </a:ext>
            <a:ext uri="{147F2762-F138-4A5C-976F-8EAC2B608ADB}">
              <a16:predDERef xmlns:a16="http://schemas.microsoft.com/office/drawing/2014/main" pred="{5E050F43-A27D-46F9-AB77-937CCA2BB7CC}"/>
            </a:ext>
          </a:extLst>
        </xdr:cNvPr>
        <xdr:cNvSpPr/>
      </xdr:nvSpPr>
      <xdr:spPr>
        <a:xfrm>
          <a:off x="0" y="150733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784</xdr:row>
      <xdr:rowOff>0</xdr:rowOff>
    </xdr:from>
    <xdr:to>
      <xdr:col>0</xdr:col>
      <xdr:colOff>323850</xdr:colOff>
      <xdr:row>785</xdr:row>
      <xdr:rowOff>120650</xdr:rowOff>
    </xdr:to>
    <xdr:sp macro="" textlink="">
      <xdr:nvSpPr>
        <xdr:cNvPr id="8" name="Frame 258">
          <a:extLst>
            <a:ext uri="{FF2B5EF4-FFF2-40B4-BE49-F238E27FC236}">
              <a16:creationId xmlns:a16="http://schemas.microsoft.com/office/drawing/2014/main" id="{777DF6E5-DFD7-44D8-BB74-D66DB464DC3A}"/>
            </a:ext>
            <a:ext uri="{147F2762-F138-4A5C-976F-8EAC2B608ADB}">
              <a16:predDERef xmlns:a16="http://schemas.microsoft.com/office/drawing/2014/main" pred="{6E538421-DAA2-409C-BDFC-EDFAB1E91D38}"/>
            </a:ext>
          </a:extLst>
        </xdr:cNvPr>
        <xdr:cNvSpPr/>
      </xdr:nvSpPr>
      <xdr:spPr>
        <a:xfrm>
          <a:off x="0" y="151114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786</xdr:row>
      <xdr:rowOff>0</xdr:rowOff>
    </xdr:from>
    <xdr:to>
      <xdr:col>0</xdr:col>
      <xdr:colOff>323850</xdr:colOff>
      <xdr:row>787</xdr:row>
      <xdr:rowOff>120650</xdr:rowOff>
    </xdr:to>
    <xdr:sp macro="" textlink="">
      <xdr:nvSpPr>
        <xdr:cNvPr id="9" name="Frame 258">
          <a:extLst>
            <a:ext uri="{FF2B5EF4-FFF2-40B4-BE49-F238E27FC236}">
              <a16:creationId xmlns:a16="http://schemas.microsoft.com/office/drawing/2014/main" id="{CF2F0CC6-2F66-4919-B96B-FC5DC9426D5E}"/>
            </a:ext>
            <a:ext uri="{147F2762-F138-4A5C-976F-8EAC2B608ADB}">
              <a16:predDERef xmlns:a16="http://schemas.microsoft.com/office/drawing/2014/main" pred="{777DF6E5-DFD7-44D8-BB74-D66DB464DC3A}"/>
            </a:ext>
          </a:extLst>
        </xdr:cNvPr>
        <xdr:cNvSpPr/>
      </xdr:nvSpPr>
      <xdr:spPr>
        <a:xfrm>
          <a:off x="0" y="151495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788</xdr:row>
      <xdr:rowOff>0</xdr:rowOff>
    </xdr:from>
    <xdr:to>
      <xdr:col>0</xdr:col>
      <xdr:colOff>323850</xdr:colOff>
      <xdr:row>789</xdr:row>
      <xdr:rowOff>120650</xdr:rowOff>
    </xdr:to>
    <xdr:sp macro="" textlink="">
      <xdr:nvSpPr>
        <xdr:cNvPr id="10" name="Frame 258">
          <a:extLst>
            <a:ext uri="{FF2B5EF4-FFF2-40B4-BE49-F238E27FC236}">
              <a16:creationId xmlns:a16="http://schemas.microsoft.com/office/drawing/2014/main" id="{2742DC78-A489-402B-8378-E775F1CDF660}"/>
            </a:ext>
            <a:ext uri="{147F2762-F138-4A5C-976F-8EAC2B608ADB}">
              <a16:predDERef xmlns:a16="http://schemas.microsoft.com/office/drawing/2014/main" pred="{CF2F0CC6-2F66-4919-B96B-FC5DC9426D5E}"/>
            </a:ext>
          </a:extLst>
        </xdr:cNvPr>
        <xdr:cNvSpPr/>
      </xdr:nvSpPr>
      <xdr:spPr>
        <a:xfrm>
          <a:off x="0" y="151876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790</xdr:row>
      <xdr:rowOff>0</xdr:rowOff>
    </xdr:from>
    <xdr:to>
      <xdr:col>0</xdr:col>
      <xdr:colOff>323850</xdr:colOff>
      <xdr:row>791</xdr:row>
      <xdr:rowOff>120650</xdr:rowOff>
    </xdr:to>
    <xdr:sp macro="" textlink="">
      <xdr:nvSpPr>
        <xdr:cNvPr id="11" name="Frame 258">
          <a:extLst>
            <a:ext uri="{FF2B5EF4-FFF2-40B4-BE49-F238E27FC236}">
              <a16:creationId xmlns:a16="http://schemas.microsoft.com/office/drawing/2014/main" id="{4C70BD38-AB1C-4D76-A20F-A207CF12B9E3}"/>
            </a:ext>
            <a:ext uri="{147F2762-F138-4A5C-976F-8EAC2B608ADB}">
              <a16:predDERef xmlns:a16="http://schemas.microsoft.com/office/drawing/2014/main" pred="{2742DC78-A489-402B-8378-E775F1CDF660}"/>
            </a:ext>
          </a:extLst>
        </xdr:cNvPr>
        <xdr:cNvSpPr/>
      </xdr:nvSpPr>
      <xdr:spPr>
        <a:xfrm>
          <a:off x="0" y="152257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792</xdr:row>
      <xdr:rowOff>0</xdr:rowOff>
    </xdr:from>
    <xdr:to>
      <xdr:col>0</xdr:col>
      <xdr:colOff>323850</xdr:colOff>
      <xdr:row>793</xdr:row>
      <xdr:rowOff>120650</xdr:rowOff>
    </xdr:to>
    <xdr:sp macro="" textlink="">
      <xdr:nvSpPr>
        <xdr:cNvPr id="12" name="Frame 258">
          <a:extLst>
            <a:ext uri="{FF2B5EF4-FFF2-40B4-BE49-F238E27FC236}">
              <a16:creationId xmlns:a16="http://schemas.microsoft.com/office/drawing/2014/main" id="{C0841D46-978B-4114-BA5D-4AC4EE81C092}"/>
            </a:ext>
            <a:ext uri="{147F2762-F138-4A5C-976F-8EAC2B608ADB}">
              <a16:predDERef xmlns:a16="http://schemas.microsoft.com/office/drawing/2014/main" pred="{4C70BD38-AB1C-4D76-A20F-A207CF12B9E3}"/>
            </a:ext>
          </a:extLst>
        </xdr:cNvPr>
        <xdr:cNvSpPr/>
      </xdr:nvSpPr>
      <xdr:spPr>
        <a:xfrm>
          <a:off x="0" y="152638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807</xdr:row>
      <xdr:rowOff>177800</xdr:rowOff>
    </xdr:from>
    <xdr:to>
      <xdr:col>0</xdr:col>
      <xdr:colOff>330200</xdr:colOff>
      <xdr:row>809</xdr:row>
      <xdr:rowOff>114300</xdr:rowOff>
    </xdr:to>
    <xdr:sp macro="" textlink="">
      <xdr:nvSpPr>
        <xdr:cNvPr id="203" name="Frame 733">
          <a:extLst>
            <a:ext uri="{FF2B5EF4-FFF2-40B4-BE49-F238E27FC236}">
              <a16:creationId xmlns:a16="http://schemas.microsoft.com/office/drawing/2014/main" id="{DB18D936-DBEC-454A-BE06-7D8000FD85E3}"/>
            </a:ext>
            <a:ext uri="{147F2762-F138-4A5C-976F-8EAC2B608ADB}">
              <a16:predDERef xmlns:a16="http://schemas.microsoft.com/office/drawing/2014/main" pred="{C0841D46-978B-4114-BA5D-4AC4EE81C092}"/>
            </a:ext>
          </a:extLst>
        </xdr:cNvPr>
        <xdr:cNvSpPr/>
      </xdr:nvSpPr>
      <xdr:spPr>
        <a:xfrm>
          <a:off x="6350" y="4766849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810</xdr:row>
      <xdr:rowOff>0</xdr:rowOff>
    </xdr:from>
    <xdr:to>
      <xdr:col>0</xdr:col>
      <xdr:colOff>323850</xdr:colOff>
      <xdr:row>811</xdr:row>
      <xdr:rowOff>127000</xdr:rowOff>
    </xdr:to>
    <xdr:sp macro="" textlink="">
      <xdr:nvSpPr>
        <xdr:cNvPr id="204" name="Frame 733">
          <a:extLst>
            <a:ext uri="{FF2B5EF4-FFF2-40B4-BE49-F238E27FC236}">
              <a16:creationId xmlns:a16="http://schemas.microsoft.com/office/drawing/2014/main" id="{1345E477-A1AA-400B-A226-BA32FB7D4102}"/>
            </a:ext>
            <a:ext uri="{147F2762-F138-4A5C-976F-8EAC2B608ADB}">
              <a16:predDERef xmlns:a16="http://schemas.microsoft.com/office/drawing/2014/main" pred="{DB18D936-DBEC-454A-BE06-7D8000FD85E3}"/>
            </a:ext>
          </a:extLst>
        </xdr:cNvPr>
        <xdr:cNvSpPr/>
      </xdr:nvSpPr>
      <xdr:spPr>
        <a:xfrm>
          <a:off x="0" y="4770786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812</xdr:row>
      <xdr:rowOff>0</xdr:rowOff>
    </xdr:from>
    <xdr:to>
      <xdr:col>0</xdr:col>
      <xdr:colOff>323850</xdr:colOff>
      <xdr:row>813</xdr:row>
      <xdr:rowOff>127000</xdr:rowOff>
    </xdr:to>
    <xdr:sp macro="" textlink="">
      <xdr:nvSpPr>
        <xdr:cNvPr id="205" name="Frame 733">
          <a:extLst>
            <a:ext uri="{FF2B5EF4-FFF2-40B4-BE49-F238E27FC236}">
              <a16:creationId xmlns:a16="http://schemas.microsoft.com/office/drawing/2014/main" id="{A3299205-A60B-4217-9C58-2420432B4D83}"/>
            </a:ext>
            <a:ext uri="{147F2762-F138-4A5C-976F-8EAC2B608ADB}">
              <a16:predDERef xmlns:a16="http://schemas.microsoft.com/office/drawing/2014/main" pred="{1345E477-A1AA-400B-A226-BA32FB7D4102}"/>
            </a:ext>
          </a:extLst>
        </xdr:cNvPr>
        <xdr:cNvSpPr/>
      </xdr:nvSpPr>
      <xdr:spPr>
        <a:xfrm>
          <a:off x="0" y="4774596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814</xdr:row>
      <xdr:rowOff>0</xdr:rowOff>
    </xdr:from>
    <xdr:to>
      <xdr:col>0</xdr:col>
      <xdr:colOff>323850</xdr:colOff>
      <xdr:row>815</xdr:row>
      <xdr:rowOff>127000</xdr:rowOff>
    </xdr:to>
    <xdr:sp macro="" textlink="">
      <xdr:nvSpPr>
        <xdr:cNvPr id="206" name="Frame 733">
          <a:extLst>
            <a:ext uri="{FF2B5EF4-FFF2-40B4-BE49-F238E27FC236}">
              <a16:creationId xmlns:a16="http://schemas.microsoft.com/office/drawing/2014/main" id="{BAB79C64-1A96-4C23-A4B6-D53263134B71}"/>
            </a:ext>
            <a:ext uri="{147F2762-F138-4A5C-976F-8EAC2B608ADB}">
              <a16:predDERef xmlns:a16="http://schemas.microsoft.com/office/drawing/2014/main" pred="{A3299205-A60B-4217-9C58-2420432B4D83}"/>
            </a:ext>
          </a:extLst>
        </xdr:cNvPr>
        <xdr:cNvSpPr/>
      </xdr:nvSpPr>
      <xdr:spPr>
        <a:xfrm>
          <a:off x="0" y="4778406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816</xdr:row>
      <xdr:rowOff>0</xdr:rowOff>
    </xdr:from>
    <xdr:to>
      <xdr:col>0</xdr:col>
      <xdr:colOff>323850</xdr:colOff>
      <xdr:row>817</xdr:row>
      <xdr:rowOff>127000</xdr:rowOff>
    </xdr:to>
    <xdr:sp macro="" textlink="">
      <xdr:nvSpPr>
        <xdr:cNvPr id="207" name="Frame 733">
          <a:extLst>
            <a:ext uri="{FF2B5EF4-FFF2-40B4-BE49-F238E27FC236}">
              <a16:creationId xmlns:a16="http://schemas.microsoft.com/office/drawing/2014/main" id="{FDAA9964-79C4-4511-814A-3CA2A9D3A12C}"/>
            </a:ext>
            <a:ext uri="{147F2762-F138-4A5C-976F-8EAC2B608ADB}">
              <a16:predDERef xmlns:a16="http://schemas.microsoft.com/office/drawing/2014/main" pred="{BAB79C64-1A96-4C23-A4B6-D53263134B71}"/>
            </a:ext>
          </a:extLst>
        </xdr:cNvPr>
        <xdr:cNvSpPr/>
      </xdr:nvSpPr>
      <xdr:spPr>
        <a:xfrm>
          <a:off x="0" y="4782216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818</xdr:row>
      <xdr:rowOff>0</xdr:rowOff>
    </xdr:from>
    <xdr:to>
      <xdr:col>0</xdr:col>
      <xdr:colOff>323850</xdr:colOff>
      <xdr:row>819</xdr:row>
      <xdr:rowOff>127000</xdr:rowOff>
    </xdr:to>
    <xdr:sp macro="" textlink="">
      <xdr:nvSpPr>
        <xdr:cNvPr id="208" name="Frame 733">
          <a:extLst>
            <a:ext uri="{FF2B5EF4-FFF2-40B4-BE49-F238E27FC236}">
              <a16:creationId xmlns:a16="http://schemas.microsoft.com/office/drawing/2014/main" id="{738DD10C-0AB8-48A4-AF0D-047442B19829}"/>
            </a:ext>
            <a:ext uri="{147F2762-F138-4A5C-976F-8EAC2B608ADB}">
              <a16:predDERef xmlns:a16="http://schemas.microsoft.com/office/drawing/2014/main" pred="{FDAA9964-79C4-4511-814A-3CA2A9D3A12C}"/>
            </a:ext>
          </a:extLst>
        </xdr:cNvPr>
        <xdr:cNvSpPr/>
      </xdr:nvSpPr>
      <xdr:spPr>
        <a:xfrm>
          <a:off x="0" y="4786026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327</xdr:row>
      <xdr:rowOff>0</xdr:rowOff>
    </xdr:from>
    <xdr:to>
      <xdr:col>0</xdr:col>
      <xdr:colOff>323850</xdr:colOff>
      <xdr:row>328</xdr:row>
      <xdr:rowOff>120650</xdr:rowOff>
    </xdr:to>
    <xdr:sp macro="" textlink="">
      <xdr:nvSpPr>
        <xdr:cNvPr id="209" name="Frame 208">
          <a:extLst>
            <a:ext uri="{FF2B5EF4-FFF2-40B4-BE49-F238E27FC236}">
              <a16:creationId xmlns:a16="http://schemas.microsoft.com/office/drawing/2014/main" id="{0261D6EC-99CD-4938-81B5-D106F1912708}"/>
            </a:ext>
            <a:ext uri="{147F2762-F138-4A5C-976F-8EAC2B608ADB}">
              <a16:predDERef xmlns:a16="http://schemas.microsoft.com/office/drawing/2014/main" pred="{738DD10C-0AB8-48A4-AF0D-047442B19829}"/>
            </a:ext>
          </a:extLst>
        </xdr:cNvPr>
        <xdr:cNvSpPr/>
      </xdr:nvSpPr>
      <xdr:spPr>
        <a:xfrm>
          <a:off x="0" y="641985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0</xdr:col>
      <xdr:colOff>323850</xdr:colOff>
      <xdr:row>330</xdr:row>
      <xdr:rowOff>120650</xdr:rowOff>
    </xdr:to>
    <xdr:sp macro="" textlink="">
      <xdr:nvSpPr>
        <xdr:cNvPr id="210" name="Frame 209">
          <a:extLst>
            <a:ext uri="{FF2B5EF4-FFF2-40B4-BE49-F238E27FC236}">
              <a16:creationId xmlns:a16="http://schemas.microsoft.com/office/drawing/2014/main" id="{E142A7B0-E15D-4AE4-A07D-B822771A689B}"/>
            </a:ext>
            <a:ext uri="{147F2762-F138-4A5C-976F-8EAC2B608ADB}">
              <a16:predDERef xmlns:a16="http://schemas.microsoft.com/office/drawing/2014/main" pred="{0261D6EC-99CD-4938-81B5-D106F1912708}"/>
            </a:ext>
          </a:extLst>
        </xdr:cNvPr>
        <xdr:cNvSpPr/>
      </xdr:nvSpPr>
      <xdr:spPr>
        <a:xfrm>
          <a:off x="0" y="645795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833</xdr:row>
      <xdr:rowOff>177800</xdr:rowOff>
    </xdr:from>
    <xdr:to>
      <xdr:col>0</xdr:col>
      <xdr:colOff>330200</xdr:colOff>
      <xdr:row>835</xdr:row>
      <xdr:rowOff>114300</xdr:rowOff>
    </xdr:to>
    <xdr:sp macro="" textlink="">
      <xdr:nvSpPr>
        <xdr:cNvPr id="223" name="Frame 244">
          <a:extLst>
            <a:ext uri="{FF2B5EF4-FFF2-40B4-BE49-F238E27FC236}">
              <a16:creationId xmlns:a16="http://schemas.microsoft.com/office/drawing/2014/main" id="{62047DD4-B4E1-4A9F-A541-1FB7B295C05D}"/>
            </a:ext>
            <a:ext uri="{147F2762-F138-4A5C-976F-8EAC2B608ADB}">
              <a16:predDERef xmlns:a16="http://schemas.microsoft.com/office/drawing/2014/main" pred="{E142A7B0-E15D-4AE4-A07D-B822771A689B}"/>
            </a:ext>
          </a:extLst>
        </xdr:cNvPr>
        <xdr:cNvSpPr/>
      </xdr:nvSpPr>
      <xdr:spPr>
        <a:xfrm>
          <a:off x="6350" y="13585190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836</xdr:row>
      <xdr:rowOff>0</xdr:rowOff>
    </xdr:from>
    <xdr:to>
      <xdr:col>0</xdr:col>
      <xdr:colOff>323850</xdr:colOff>
      <xdr:row>837</xdr:row>
      <xdr:rowOff>120650</xdr:rowOff>
    </xdr:to>
    <xdr:sp macro="" textlink="">
      <xdr:nvSpPr>
        <xdr:cNvPr id="232" name="Frame 245">
          <a:extLst>
            <a:ext uri="{FF2B5EF4-FFF2-40B4-BE49-F238E27FC236}">
              <a16:creationId xmlns:a16="http://schemas.microsoft.com/office/drawing/2014/main" id="{17275D61-E7D3-480F-B888-3F7B7EEABF14}"/>
            </a:ext>
            <a:ext uri="{147F2762-F138-4A5C-976F-8EAC2B608ADB}">
              <a16:predDERef xmlns:a16="http://schemas.microsoft.com/office/drawing/2014/main" pred="{62047DD4-B4E1-4A9F-A541-1FB7B295C05D}"/>
            </a:ext>
          </a:extLst>
        </xdr:cNvPr>
        <xdr:cNvSpPr/>
      </xdr:nvSpPr>
      <xdr:spPr>
        <a:xfrm>
          <a:off x="0" y="136245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838</xdr:row>
      <xdr:rowOff>0</xdr:rowOff>
    </xdr:from>
    <xdr:to>
      <xdr:col>0</xdr:col>
      <xdr:colOff>323850</xdr:colOff>
      <xdr:row>839</xdr:row>
      <xdr:rowOff>120650</xdr:rowOff>
    </xdr:to>
    <xdr:sp macro="" textlink="">
      <xdr:nvSpPr>
        <xdr:cNvPr id="233" name="Frame 246">
          <a:extLst>
            <a:ext uri="{FF2B5EF4-FFF2-40B4-BE49-F238E27FC236}">
              <a16:creationId xmlns:a16="http://schemas.microsoft.com/office/drawing/2014/main" id="{C0203039-938A-4746-8664-9EFF75E1ECFE}"/>
            </a:ext>
            <a:ext uri="{147F2762-F138-4A5C-976F-8EAC2B608ADB}">
              <a16:predDERef xmlns:a16="http://schemas.microsoft.com/office/drawing/2014/main" pred="{17275D61-E7D3-480F-B888-3F7B7EEABF14}"/>
            </a:ext>
          </a:extLst>
        </xdr:cNvPr>
        <xdr:cNvSpPr/>
      </xdr:nvSpPr>
      <xdr:spPr>
        <a:xfrm>
          <a:off x="0" y="136626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840</xdr:row>
      <xdr:rowOff>0</xdr:rowOff>
    </xdr:from>
    <xdr:to>
      <xdr:col>0</xdr:col>
      <xdr:colOff>323850</xdr:colOff>
      <xdr:row>841</xdr:row>
      <xdr:rowOff>120650</xdr:rowOff>
    </xdr:to>
    <xdr:sp macro="" textlink="">
      <xdr:nvSpPr>
        <xdr:cNvPr id="234" name="Frame 247">
          <a:extLst>
            <a:ext uri="{FF2B5EF4-FFF2-40B4-BE49-F238E27FC236}">
              <a16:creationId xmlns:a16="http://schemas.microsoft.com/office/drawing/2014/main" id="{51D7DA81-5BC7-4CAA-A633-FC0BE80E8153}"/>
            </a:ext>
            <a:ext uri="{147F2762-F138-4A5C-976F-8EAC2B608ADB}">
              <a16:predDERef xmlns:a16="http://schemas.microsoft.com/office/drawing/2014/main" pred="{C0203039-938A-4746-8664-9EFF75E1ECFE}"/>
            </a:ext>
          </a:extLst>
        </xdr:cNvPr>
        <xdr:cNvSpPr/>
      </xdr:nvSpPr>
      <xdr:spPr>
        <a:xfrm>
          <a:off x="0" y="137007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842</xdr:row>
      <xdr:rowOff>0</xdr:rowOff>
    </xdr:from>
    <xdr:to>
      <xdr:col>0</xdr:col>
      <xdr:colOff>323850</xdr:colOff>
      <xdr:row>843</xdr:row>
      <xdr:rowOff>120650</xdr:rowOff>
    </xdr:to>
    <xdr:sp macro="" textlink="">
      <xdr:nvSpPr>
        <xdr:cNvPr id="235" name="Frame 248">
          <a:extLst>
            <a:ext uri="{FF2B5EF4-FFF2-40B4-BE49-F238E27FC236}">
              <a16:creationId xmlns:a16="http://schemas.microsoft.com/office/drawing/2014/main" id="{5B80F567-4B95-4AA4-99DD-2BFA3B1758F9}"/>
            </a:ext>
            <a:ext uri="{147F2762-F138-4A5C-976F-8EAC2B608ADB}">
              <a16:predDERef xmlns:a16="http://schemas.microsoft.com/office/drawing/2014/main" pred="{51D7DA81-5BC7-4CAA-A633-FC0BE80E8153}"/>
            </a:ext>
          </a:extLst>
        </xdr:cNvPr>
        <xdr:cNvSpPr/>
      </xdr:nvSpPr>
      <xdr:spPr>
        <a:xfrm>
          <a:off x="0" y="137388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844</xdr:row>
      <xdr:rowOff>0</xdr:rowOff>
    </xdr:from>
    <xdr:to>
      <xdr:col>0</xdr:col>
      <xdr:colOff>323850</xdr:colOff>
      <xdr:row>845</xdr:row>
      <xdr:rowOff>120650</xdr:rowOff>
    </xdr:to>
    <xdr:sp macro="" textlink="">
      <xdr:nvSpPr>
        <xdr:cNvPr id="236" name="Frame 249">
          <a:extLst>
            <a:ext uri="{FF2B5EF4-FFF2-40B4-BE49-F238E27FC236}">
              <a16:creationId xmlns:a16="http://schemas.microsoft.com/office/drawing/2014/main" id="{635FD34A-FDB9-4D31-9681-886D37F674AA}"/>
            </a:ext>
            <a:ext uri="{147F2762-F138-4A5C-976F-8EAC2B608ADB}">
              <a16:predDERef xmlns:a16="http://schemas.microsoft.com/office/drawing/2014/main" pred="{5B80F567-4B95-4AA4-99DD-2BFA3B1758F9}"/>
            </a:ext>
          </a:extLst>
        </xdr:cNvPr>
        <xdr:cNvSpPr/>
      </xdr:nvSpPr>
      <xdr:spPr>
        <a:xfrm>
          <a:off x="0" y="137769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846</xdr:row>
      <xdr:rowOff>0</xdr:rowOff>
    </xdr:from>
    <xdr:to>
      <xdr:col>0</xdr:col>
      <xdr:colOff>323850</xdr:colOff>
      <xdr:row>847</xdr:row>
      <xdr:rowOff>120650</xdr:rowOff>
    </xdr:to>
    <xdr:sp macro="" textlink="">
      <xdr:nvSpPr>
        <xdr:cNvPr id="241" name="Frame 250">
          <a:extLst>
            <a:ext uri="{FF2B5EF4-FFF2-40B4-BE49-F238E27FC236}">
              <a16:creationId xmlns:a16="http://schemas.microsoft.com/office/drawing/2014/main" id="{37133BF7-85CA-4913-9563-2DD45153E4C8}"/>
            </a:ext>
            <a:ext uri="{147F2762-F138-4A5C-976F-8EAC2B608ADB}">
              <a16:predDERef xmlns:a16="http://schemas.microsoft.com/office/drawing/2014/main" pred="{635FD34A-FDB9-4D31-9681-886D37F674AA}"/>
            </a:ext>
          </a:extLst>
        </xdr:cNvPr>
        <xdr:cNvSpPr/>
      </xdr:nvSpPr>
      <xdr:spPr>
        <a:xfrm>
          <a:off x="0" y="138150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848</xdr:row>
      <xdr:rowOff>0</xdr:rowOff>
    </xdr:from>
    <xdr:to>
      <xdr:col>0</xdr:col>
      <xdr:colOff>323850</xdr:colOff>
      <xdr:row>849</xdr:row>
      <xdr:rowOff>120650</xdr:rowOff>
    </xdr:to>
    <xdr:sp macro="" textlink="">
      <xdr:nvSpPr>
        <xdr:cNvPr id="242" name="Frame 251">
          <a:extLst>
            <a:ext uri="{FF2B5EF4-FFF2-40B4-BE49-F238E27FC236}">
              <a16:creationId xmlns:a16="http://schemas.microsoft.com/office/drawing/2014/main" id="{2B8246EE-E73D-405D-AA18-7765B92E9825}"/>
            </a:ext>
            <a:ext uri="{147F2762-F138-4A5C-976F-8EAC2B608ADB}">
              <a16:predDERef xmlns:a16="http://schemas.microsoft.com/office/drawing/2014/main" pred="{37133BF7-85CA-4913-9563-2DD45153E4C8}"/>
            </a:ext>
          </a:extLst>
        </xdr:cNvPr>
        <xdr:cNvSpPr/>
      </xdr:nvSpPr>
      <xdr:spPr>
        <a:xfrm>
          <a:off x="0" y="138531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850</xdr:row>
      <xdr:rowOff>0</xdr:rowOff>
    </xdr:from>
    <xdr:to>
      <xdr:col>0</xdr:col>
      <xdr:colOff>323850</xdr:colOff>
      <xdr:row>851</xdr:row>
      <xdr:rowOff>120650</xdr:rowOff>
    </xdr:to>
    <xdr:sp macro="" textlink="">
      <xdr:nvSpPr>
        <xdr:cNvPr id="243" name="Frame 252">
          <a:extLst>
            <a:ext uri="{FF2B5EF4-FFF2-40B4-BE49-F238E27FC236}">
              <a16:creationId xmlns:a16="http://schemas.microsoft.com/office/drawing/2014/main" id="{CC6A60CC-B18D-4C4A-9B12-F304075BA118}"/>
            </a:ext>
            <a:ext uri="{147F2762-F138-4A5C-976F-8EAC2B608ADB}">
              <a16:predDERef xmlns:a16="http://schemas.microsoft.com/office/drawing/2014/main" pred="{2B8246EE-E73D-405D-AA18-7765B92E9825}"/>
            </a:ext>
          </a:extLst>
        </xdr:cNvPr>
        <xdr:cNvSpPr/>
      </xdr:nvSpPr>
      <xdr:spPr>
        <a:xfrm>
          <a:off x="0" y="138912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852</xdr:row>
      <xdr:rowOff>0</xdr:rowOff>
    </xdr:from>
    <xdr:to>
      <xdr:col>0</xdr:col>
      <xdr:colOff>323850</xdr:colOff>
      <xdr:row>853</xdr:row>
      <xdr:rowOff>120650</xdr:rowOff>
    </xdr:to>
    <xdr:sp macro="" textlink="">
      <xdr:nvSpPr>
        <xdr:cNvPr id="244" name="Frame 253">
          <a:extLst>
            <a:ext uri="{FF2B5EF4-FFF2-40B4-BE49-F238E27FC236}">
              <a16:creationId xmlns:a16="http://schemas.microsoft.com/office/drawing/2014/main" id="{DDE9049C-0B66-473D-8FCC-F4782D4CABD0}"/>
            </a:ext>
            <a:ext uri="{147F2762-F138-4A5C-976F-8EAC2B608ADB}">
              <a16:predDERef xmlns:a16="http://schemas.microsoft.com/office/drawing/2014/main" pred="{CC6A60CC-B18D-4C4A-9B12-F304075BA118}"/>
            </a:ext>
          </a:extLst>
        </xdr:cNvPr>
        <xdr:cNvSpPr/>
      </xdr:nvSpPr>
      <xdr:spPr>
        <a:xfrm>
          <a:off x="0" y="1392936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867</xdr:row>
      <xdr:rowOff>177800</xdr:rowOff>
    </xdr:from>
    <xdr:to>
      <xdr:col>0</xdr:col>
      <xdr:colOff>330200</xdr:colOff>
      <xdr:row>869</xdr:row>
      <xdr:rowOff>114300</xdr:rowOff>
    </xdr:to>
    <xdr:sp macro="" textlink="">
      <xdr:nvSpPr>
        <xdr:cNvPr id="256" name="Frame 244">
          <a:extLst>
            <a:ext uri="{FF2B5EF4-FFF2-40B4-BE49-F238E27FC236}">
              <a16:creationId xmlns:a16="http://schemas.microsoft.com/office/drawing/2014/main" id="{0F5B9A4B-EB39-43A1-A1CE-585A091FED4E}"/>
            </a:ext>
            <a:ext uri="{147F2762-F138-4A5C-976F-8EAC2B608ADB}">
              <a16:predDERef xmlns:a16="http://schemas.microsoft.com/office/drawing/2014/main" pred="{DDE9049C-0B66-473D-8FCC-F4782D4CABD0}"/>
            </a:ext>
          </a:extLst>
        </xdr:cNvPr>
        <xdr:cNvSpPr/>
      </xdr:nvSpPr>
      <xdr:spPr>
        <a:xfrm>
          <a:off x="6350" y="16385540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870</xdr:row>
      <xdr:rowOff>0</xdr:rowOff>
    </xdr:from>
    <xdr:to>
      <xdr:col>0</xdr:col>
      <xdr:colOff>323850</xdr:colOff>
      <xdr:row>871</xdr:row>
      <xdr:rowOff>120650</xdr:rowOff>
    </xdr:to>
    <xdr:sp macro="" textlink="">
      <xdr:nvSpPr>
        <xdr:cNvPr id="257" name="Frame 245">
          <a:extLst>
            <a:ext uri="{FF2B5EF4-FFF2-40B4-BE49-F238E27FC236}">
              <a16:creationId xmlns:a16="http://schemas.microsoft.com/office/drawing/2014/main" id="{C49EEEF6-0202-4BEC-8ABF-A7776676C1F5}"/>
            </a:ext>
            <a:ext uri="{147F2762-F138-4A5C-976F-8EAC2B608ADB}">
              <a16:predDERef xmlns:a16="http://schemas.microsoft.com/office/drawing/2014/main" pred="{0F5B9A4B-EB39-43A1-A1CE-585A091FED4E}"/>
            </a:ext>
          </a:extLst>
        </xdr:cNvPr>
        <xdr:cNvSpPr/>
      </xdr:nvSpPr>
      <xdr:spPr>
        <a:xfrm>
          <a:off x="0" y="164249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872</xdr:row>
      <xdr:rowOff>0</xdr:rowOff>
    </xdr:from>
    <xdr:to>
      <xdr:col>0</xdr:col>
      <xdr:colOff>323850</xdr:colOff>
      <xdr:row>873</xdr:row>
      <xdr:rowOff>120650</xdr:rowOff>
    </xdr:to>
    <xdr:sp macro="" textlink="">
      <xdr:nvSpPr>
        <xdr:cNvPr id="260" name="Frame 246">
          <a:extLst>
            <a:ext uri="{FF2B5EF4-FFF2-40B4-BE49-F238E27FC236}">
              <a16:creationId xmlns:a16="http://schemas.microsoft.com/office/drawing/2014/main" id="{F7ED7014-111B-4EFE-B1FF-ECF195620063}"/>
            </a:ext>
            <a:ext uri="{147F2762-F138-4A5C-976F-8EAC2B608ADB}">
              <a16:predDERef xmlns:a16="http://schemas.microsoft.com/office/drawing/2014/main" pred="{C49EEEF6-0202-4BEC-8ABF-A7776676C1F5}"/>
            </a:ext>
          </a:extLst>
        </xdr:cNvPr>
        <xdr:cNvSpPr/>
      </xdr:nvSpPr>
      <xdr:spPr>
        <a:xfrm>
          <a:off x="0" y="164630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0</xdr:col>
      <xdr:colOff>323850</xdr:colOff>
      <xdr:row>875</xdr:row>
      <xdr:rowOff>120650</xdr:rowOff>
    </xdr:to>
    <xdr:sp macro="" textlink="">
      <xdr:nvSpPr>
        <xdr:cNvPr id="261" name="Frame 247">
          <a:extLst>
            <a:ext uri="{FF2B5EF4-FFF2-40B4-BE49-F238E27FC236}">
              <a16:creationId xmlns:a16="http://schemas.microsoft.com/office/drawing/2014/main" id="{61709C78-78AC-42D7-82AF-BF37B836E232}"/>
            </a:ext>
            <a:ext uri="{147F2762-F138-4A5C-976F-8EAC2B608ADB}">
              <a16:predDERef xmlns:a16="http://schemas.microsoft.com/office/drawing/2014/main" pred="{F7ED7014-111B-4EFE-B1FF-ECF195620063}"/>
            </a:ext>
          </a:extLst>
        </xdr:cNvPr>
        <xdr:cNvSpPr/>
      </xdr:nvSpPr>
      <xdr:spPr>
        <a:xfrm>
          <a:off x="0" y="165011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889</xdr:row>
      <xdr:rowOff>177800</xdr:rowOff>
    </xdr:from>
    <xdr:to>
      <xdr:col>0</xdr:col>
      <xdr:colOff>330200</xdr:colOff>
      <xdr:row>891</xdr:row>
      <xdr:rowOff>114300</xdr:rowOff>
    </xdr:to>
    <xdr:sp macro="" textlink="">
      <xdr:nvSpPr>
        <xdr:cNvPr id="262" name="Frame 244">
          <a:extLst>
            <a:ext uri="{FF2B5EF4-FFF2-40B4-BE49-F238E27FC236}">
              <a16:creationId xmlns:a16="http://schemas.microsoft.com/office/drawing/2014/main" id="{7221D44A-AD6D-41C0-A6D9-B373EB9509E7}"/>
            </a:ext>
            <a:ext uri="{147F2762-F138-4A5C-976F-8EAC2B608ADB}">
              <a16:predDERef xmlns:a16="http://schemas.microsoft.com/office/drawing/2014/main" pred="{61709C78-78AC-42D7-82AF-BF37B836E232}"/>
            </a:ext>
          </a:extLst>
        </xdr:cNvPr>
        <xdr:cNvSpPr/>
      </xdr:nvSpPr>
      <xdr:spPr>
        <a:xfrm>
          <a:off x="6350" y="16385540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892</xdr:row>
      <xdr:rowOff>0</xdr:rowOff>
    </xdr:from>
    <xdr:to>
      <xdr:col>0</xdr:col>
      <xdr:colOff>323850</xdr:colOff>
      <xdr:row>893</xdr:row>
      <xdr:rowOff>120650</xdr:rowOff>
    </xdr:to>
    <xdr:sp macro="" textlink="">
      <xdr:nvSpPr>
        <xdr:cNvPr id="263" name="Frame 245">
          <a:extLst>
            <a:ext uri="{FF2B5EF4-FFF2-40B4-BE49-F238E27FC236}">
              <a16:creationId xmlns:a16="http://schemas.microsoft.com/office/drawing/2014/main" id="{52F1BB29-8A45-4160-A348-0CC02B4368B7}"/>
            </a:ext>
            <a:ext uri="{147F2762-F138-4A5C-976F-8EAC2B608ADB}">
              <a16:predDERef xmlns:a16="http://schemas.microsoft.com/office/drawing/2014/main" pred="{7221D44A-AD6D-41C0-A6D9-B373EB9509E7}"/>
            </a:ext>
          </a:extLst>
        </xdr:cNvPr>
        <xdr:cNvSpPr/>
      </xdr:nvSpPr>
      <xdr:spPr>
        <a:xfrm>
          <a:off x="0" y="164249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894</xdr:row>
      <xdr:rowOff>0</xdr:rowOff>
    </xdr:from>
    <xdr:to>
      <xdr:col>0</xdr:col>
      <xdr:colOff>323850</xdr:colOff>
      <xdr:row>895</xdr:row>
      <xdr:rowOff>120650</xdr:rowOff>
    </xdr:to>
    <xdr:sp macro="" textlink="">
      <xdr:nvSpPr>
        <xdr:cNvPr id="264" name="Frame 246">
          <a:extLst>
            <a:ext uri="{FF2B5EF4-FFF2-40B4-BE49-F238E27FC236}">
              <a16:creationId xmlns:a16="http://schemas.microsoft.com/office/drawing/2014/main" id="{E8AE3E6B-B009-4F0A-B432-2E3B24136D1F}"/>
            </a:ext>
            <a:ext uri="{147F2762-F138-4A5C-976F-8EAC2B608ADB}">
              <a16:predDERef xmlns:a16="http://schemas.microsoft.com/office/drawing/2014/main" pred="{52F1BB29-8A45-4160-A348-0CC02B4368B7}"/>
            </a:ext>
          </a:extLst>
        </xdr:cNvPr>
        <xdr:cNvSpPr/>
      </xdr:nvSpPr>
      <xdr:spPr>
        <a:xfrm>
          <a:off x="0" y="164630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896</xdr:row>
      <xdr:rowOff>0</xdr:rowOff>
    </xdr:from>
    <xdr:to>
      <xdr:col>0</xdr:col>
      <xdr:colOff>323850</xdr:colOff>
      <xdr:row>897</xdr:row>
      <xdr:rowOff>120650</xdr:rowOff>
    </xdr:to>
    <xdr:sp macro="" textlink="">
      <xdr:nvSpPr>
        <xdr:cNvPr id="265" name="Frame 247">
          <a:extLst>
            <a:ext uri="{FF2B5EF4-FFF2-40B4-BE49-F238E27FC236}">
              <a16:creationId xmlns:a16="http://schemas.microsoft.com/office/drawing/2014/main" id="{C00C5A97-C2C5-4160-B747-F1A74D0C8320}"/>
            </a:ext>
            <a:ext uri="{147F2762-F138-4A5C-976F-8EAC2B608ADB}">
              <a16:predDERef xmlns:a16="http://schemas.microsoft.com/office/drawing/2014/main" pred="{E8AE3E6B-B009-4F0A-B432-2E3B24136D1F}"/>
            </a:ext>
          </a:extLst>
        </xdr:cNvPr>
        <xdr:cNvSpPr/>
      </xdr:nvSpPr>
      <xdr:spPr>
        <a:xfrm>
          <a:off x="0" y="165011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898</xdr:row>
      <xdr:rowOff>0</xdr:rowOff>
    </xdr:from>
    <xdr:to>
      <xdr:col>0</xdr:col>
      <xdr:colOff>323850</xdr:colOff>
      <xdr:row>899</xdr:row>
      <xdr:rowOff>120650</xdr:rowOff>
    </xdr:to>
    <xdr:sp macro="" textlink="">
      <xdr:nvSpPr>
        <xdr:cNvPr id="266" name="Frame 248">
          <a:extLst>
            <a:ext uri="{FF2B5EF4-FFF2-40B4-BE49-F238E27FC236}">
              <a16:creationId xmlns:a16="http://schemas.microsoft.com/office/drawing/2014/main" id="{84495A97-8F22-4E68-938C-F80E35EDBBBC}"/>
            </a:ext>
            <a:ext uri="{147F2762-F138-4A5C-976F-8EAC2B608ADB}">
              <a16:predDERef xmlns:a16="http://schemas.microsoft.com/office/drawing/2014/main" pred="{C00C5A97-C2C5-4160-B747-F1A74D0C8320}"/>
            </a:ext>
          </a:extLst>
        </xdr:cNvPr>
        <xdr:cNvSpPr/>
      </xdr:nvSpPr>
      <xdr:spPr>
        <a:xfrm>
          <a:off x="0" y="165392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900</xdr:row>
      <xdr:rowOff>0</xdr:rowOff>
    </xdr:from>
    <xdr:to>
      <xdr:col>0</xdr:col>
      <xdr:colOff>323850</xdr:colOff>
      <xdr:row>901</xdr:row>
      <xdr:rowOff>120650</xdr:rowOff>
    </xdr:to>
    <xdr:sp macro="" textlink="">
      <xdr:nvSpPr>
        <xdr:cNvPr id="267" name="Frame 249">
          <a:extLst>
            <a:ext uri="{FF2B5EF4-FFF2-40B4-BE49-F238E27FC236}">
              <a16:creationId xmlns:a16="http://schemas.microsoft.com/office/drawing/2014/main" id="{498B25F5-7D3B-4F2C-BC19-7A69068DB558}"/>
            </a:ext>
            <a:ext uri="{147F2762-F138-4A5C-976F-8EAC2B608ADB}">
              <a16:predDERef xmlns:a16="http://schemas.microsoft.com/office/drawing/2014/main" pred="{84495A97-8F22-4E68-938C-F80E35EDBBBC}"/>
            </a:ext>
          </a:extLst>
        </xdr:cNvPr>
        <xdr:cNvSpPr/>
      </xdr:nvSpPr>
      <xdr:spPr>
        <a:xfrm>
          <a:off x="0" y="165773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902</xdr:row>
      <xdr:rowOff>0</xdr:rowOff>
    </xdr:from>
    <xdr:to>
      <xdr:col>0</xdr:col>
      <xdr:colOff>323850</xdr:colOff>
      <xdr:row>903</xdr:row>
      <xdr:rowOff>120650</xdr:rowOff>
    </xdr:to>
    <xdr:sp macro="" textlink="">
      <xdr:nvSpPr>
        <xdr:cNvPr id="268" name="Frame 250">
          <a:extLst>
            <a:ext uri="{FF2B5EF4-FFF2-40B4-BE49-F238E27FC236}">
              <a16:creationId xmlns:a16="http://schemas.microsoft.com/office/drawing/2014/main" id="{21A303EB-A81A-4E3B-A469-0BD64B63A698}"/>
            </a:ext>
            <a:ext uri="{147F2762-F138-4A5C-976F-8EAC2B608ADB}">
              <a16:predDERef xmlns:a16="http://schemas.microsoft.com/office/drawing/2014/main" pred="{498B25F5-7D3B-4F2C-BC19-7A69068DB558}"/>
            </a:ext>
          </a:extLst>
        </xdr:cNvPr>
        <xdr:cNvSpPr/>
      </xdr:nvSpPr>
      <xdr:spPr>
        <a:xfrm>
          <a:off x="0" y="166154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904</xdr:row>
      <xdr:rowOff>0</xdr:rowOff>
    </xdr:from>
    <xdr:to>
      <xdr:col>0</xdr:col>
      <xdr:colOff>323850</xdr:colOff>
      <xdr:row>905</xdr:row>
      <xdr:rowOff>120650</xdr:rowOff>
    </xdr:to>
    <xdr:sp macro="" textlink="">
      <xdr:nvSpPr>
        <xdr:cNvPr id="269" name="Frame 251">
          <a:extLst>
            <a:ext uri="{FF2B5EF4-FFF2-40B4-BE49-F238E27FC236}">
              <a16:creationId xmlns:a16="http://schemas.microsoft.com/office/drawing/2014/main" id="{56EA650D-0BDF-42DA-85A2-9BC859DCFB52}"/>
            </a:ext>
            <a:ext uri="{147F2762-F138-4A5C-976F-8EAC2B608ADB}">
              <a16:predDERef xmlns:a16="http://schemas.microsoft.com/office/drawing/2014/main" pred="{21A303EB-A81A-4E3B-A469-0BD64B63A698}"/>
            </a:ext>
          </a:extLst>
        </xdr:cNvPr>
        <xdr:cNvSpPr/>
      </xdr:nvSpPr>
      <xdr:spPr>
        <a:xfrm>
          <a:off x="0" y="166535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910</xdr:row>
      <xdr:rowOff>0</xdr:rowOff>
    </xdr:from>
    <xdr:to>
      <xdr:col>0</xdr:col>
      <xdr:colOff>323850</xdr:colOff>
      <xdr:row>911</xdr:row>
      <xdr:rowOff>120650</xdr:rowOff>
    </xdr:to>
    <xdr:sp macro="" textlink="">
      <xdr:nvSpPr>
        <xdr:cNvPr id="270" name="Frame 252">
          <a:extLst>
            <a:ext uri="{FF2B5EF4-FFF2-40B4-BE49-F238E27FC236}">
              <a16:creationId xmlns:a16="http://schemas.microsoft.com/office/drawing/2014/main" id="{704DB193-213B-43C5-9F80-88AB6F346000}"/>
            </a:ext>
            <a:ext uri="{147F2762-F138-4A5C-976F-8EAC2B608ADB}">
              <a16:predDERef xmlns:a16="http://schemas.microsoft.com/office/drawing/2014/main" pred="{56EA650D-0BDF-42DA-85A2-9BC859DCFB52}"/>
            </a:ext>
          </a:extLst>
        </xdr:cNvPr>
        <xdr:cNvSpPr/>
      </xdr:nvSpPr>
      <xdr:spPr>
        <a:xfrm>
          <a:off x="0" y="166916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912</xdr:row>
      <xdr:rowOff>0</xdr:rowOff>
    </xdr:from>
    <xdr:to>
      <xdr:col>0</xdr:col>
      <xdr:colOff>323850</xdr:colOff>
      <xdr:row>913</xdr:row>
      <xdr:rowOff>120650</xdr:rowOff>
    </xdr:to>
    <xdr:sp macro="" textlink="">
      <xdr:nvSpPr>
        <xdr:cNvPr id="271" name="Frame 253">
          <a:extLst>
            <a:ext uri="{FF2B5EF4-FFF2-40B4-BE49-F238E27FC236}">
              <a16:creationId xmlns:a16="http://schemas.microsoft.com/office/drawing/2014/main" id="{2986822C-4B46-421A-A2EF-B3353622EBAF}"/>
            </a:ext>
            <a:ext uri="{147F2762-F138-4A5C-976F-8EAC2B608ADB}">
              <a16:predDERef xmlns:a16="http://schemas.microsoft.com/office/drawing/2014/main" pred="{704DB193-213B-43C5-9F80-88AB6F346000}"/>
            </a:ext>
          </a:extLst>
        </xdr:cNvPr>
        <xdr:cNvSpPr/>
      </xdr:nvSpPr>
      <xdr:spPr>
        <a:xfrm>
          <a:off x="0" y="16729710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906</xdr:row>
      <xdr:rowOff>0</xdr:rowOff>
    </xdr:from>
    <xdr:to>
      <xdr:col>0</xdr:col>
      <xdr:colOff>323850</xdr:colOff>
      <xdr:row>907</xdr:row>
      <xdr:rowOff>120650</xdr:rowOff>
    </xdr:to>
    <xdr:sp macro="" textlink="">
      <xdr:nvSpPr>
        <xdr:cNvPr id="272" name="Frame 271">
          <a:extLst>
            <a:ext uri="{FF2B5EF4-FFF2-40B4-BE49-F238E27FC236}">
              <a16:creationId xmlns:a16="http://schemas.microsoft.com/office/drawing/2014/main" id="{28C2F2A4-E30E-4045-9AAE-B4DBFB1B049A}"/>
            </a:ext>
            <a:ext uri="{147F2762-F138-4A5C-976F-8EAC2B608ADB}">
              <a16:predDERef xmlns:a16="http://schemas.microsoft.com/office/drawing/2014/main" pred="{2986822C-4B46-421A-A2EF-B3353622EBAF}"/>
            </a:ext>
          </a:extLst>
        </xdr:cNvPr>
        <xdr:cNvSpPr/>
      </xdr:nvSpPr>
      <xdr:spPr>
        <a:xfrm>
          <a:off x="0" y="177869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908</xdr:row>
      <xdr:rowOff>0</xdr:rowOff>
    </xdr:from>
    <xdr:to>
      <xdr:col>0</xdr:col>
      <xdr:colOff>323850</xdr:colOff>
      <xdr:row>909</xdr:row>
      <xdr:rowOff>120650</xdr:rowOff>
    </xdr:to>
    <xdr:sp macro="" textlink="">
      <xdr:nvSpPr>
        <xdr:cNvPr id="273" name="Frame 272">
          <a:extLst>
            <a:ext uri="{FF2B5EF4-FFF2-40B4-BE49-F238E27FC236}">
              <a16:creationId xmlns:a16="http://schemas.microsoft.com/office/drawing/2014/main" id="{E14CE53B-46AC-4524-98BE-4CDCE7C61C23}"/>
            </a:ext>
            <a:ext uri="{147F2762-F138-4A5C-976F-8EAC2B608ADB}">
              <a16:predDERef xmlns:a16="http://schemas.microsoft.com/office/drawing/2014/main" pred="{28C2F2A4-E30E-4045-9AAE-B4DBFB1B049A}"/>
            </a:ext>
          </a:extLst>
        </xdr:cNvPr>
        <xdr:cNvSpPr/>
      </xdr:nvSpPr>
      <xdr:spPr>
        <a:xfrm>
          <a:off x="0" y="178250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927</xdr:row>
      <xdr:rowOff>177800</xdr:rowOff>
    </xdr:from>
    <xdr:to>
      <xdr:col>0</xdr:col>
      <xdr:colOff>330200</xdr:colOff>
      <xdr:row>929</xdr:row>
      <xdr:rowOff>114300</xdr:rowOff>
    </xdr:to>
    <xdr:sp macro="" textlink="">
      <xdr:nvSpPr>
        <xdr:cNvPr id="274" name="Frame 244">
          <a:extLst>
            <a:ext uri="{FF2B5EF4-FFF2-40B4-BE49-F238E27FC236}">
              <a16:creationId xmlns:a16="http://schemas.microsoft.com/office/drawing/2014/main" id="{21EE802E-3C77-4CDD-94A9-82C2F44DED75}"/>
            </a:ext>
            <a:ext uri="{147F2762-F138-4A5C-976F-8EAC2B608ADB}">
              <a16:predDERef xmlns:a16="http://schemas.microsoft.com/office/drawing/2014/main" pred="{E14CE53B-46AC-4524-98BE-4CDCE7C61C23}"/>
            </a:ext>
          </a:extLst>
        </xdr:cNvPr>
        <xdr:cNvSpPr/>
      </xdr:nvSpPr>
      <xdr:spPr>
        <a:xfrm>
          <a:off x="6350" y="1748091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930</xdr:row>
      <xdr:rowOff>0</xdr:rowOff>
    </xdr:from>
    <xdr:to>
      <xdr:col>0</xdr:col>
      <xdr:colOff>323850</xdr:colOff>
      <xdr:row>931</xdr:row>
      <xdr:rowOff>120650</xdr:rowOff>
    </xdr:to>
    <xdr:sp macro="" textlink="">
      <xdr:nvSpPr>
        <xdr:cNvPr id="275" name="Frame 245">
          <a:extLst>
            <a:ext uri="{FF2B5EF4-FFF2-40B4-BE49-F238E27FC236}">
              <a16:creationId xmlns:a16="http://schemas.microsoft.com/office/drawing/2014/main" id="{7429D78D-FD4C-4152-A3DD-9CAA3F3CE8A5}"/>
            </a:ext>
            <a:ext uri="{147F2762-F138-4A5C-976F-8EAC2B608ADB}">
              <a16:predDERef xmlns:a16="http://schemas.microsoft.com/office/drawing/2014/main" pred="{21EE802E-3C77-4CDD-94A9-82C2F44DED75}"/>
            </a:ext>
          </a:extLst>
        </xdr:cNvPr>
        <xdr:cNvSpPr/>
      </xdr:nvSpPr>
      <xdr:spPr>
        <a:xfrm>
          <a:off x="0" y="175202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932</xdr:row>
      <xdr:rowOff>0</xdr:rowOff>
    </xdr:from>
    <xdr:to>
      <xdr:col>0</xdr:col>
      <xdr:colOff>323850</xdr:colOff>
      <xdr:row>933</xdr:row>
      <xdr:rowOff>120650</xdr:rowOff>
    </xdr:to>
    <xdr:sp macro="" textlink="">
      <xdr:nvSpPr>
        <xdr:cNvPr id="276" name="Frame 246">
          <a:extLst>
            <a:ext uri="{FF2B5EF4-FFF2-40B4-BE49-F238E27FC236}">
              <a16:creationId xmlns:a16="http://schemas.microsoft.com/office/drawing/2014/main" id="{B8B12BC9-DFBC-4B79-81BD-452DF34896CD}"/>
            </a:ext>
            <a:ext uri="{147F2762-F138-4A5C-976F-8EAC2B608ADB}">
              <a16:predDERef xmlns:a16="http://schemas.microsoft.com/office/drawing/2014/main" pred="{7429D78D-FD4C-4152-A3DD-9CAA3F3CE8A5}"/>
            </a:ext>
          </a:extLst>
        </xdr:cNvPr>
        <xdr:cNvSpPr/>
      </xdr:nvSpPr>
      <xdr:spPr>
        <a:xfrm>
          <a:off x="0" y="175583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934</xdr:row>
      <xdr:rowOff>0</xdr:rowOff>
    </xdr:from>
    <xdr:to>
      <xdr:col>0</xdr:col>
      <xdr:colOff>323850</xdr:colOff>
      <xdr:row>935</xdr:row>
      <xdr:rowOff>120650</xdr:rowOff>
    </xdr:to>
    <xdr:sp macro="" textlink="">
      <xdr:nvSpPr>
        <xdr:cNvPr id="277" name="Frame 247">
          <a:extLst>
            <a:ext uri="{FF2B5EF4-FFF2-40B4-BE49-F238E27FC236}">
              <a16:creationId xmlns:a16="http://schemas.microsoft.com/office/drawing/2014/main" id="{CB5463E4-A64A-4038-9F6B-809628F92DDF}"/>
            </a:ext>
            <a:ext uri="{147F2762-F138-4A5C-976F-8EAC2B608ADB}">
              <a16:predDERef xmlns:a16="http://schemas.microsoft.com/office/drawing/2014/main" pred="{B8B12BC9-DFBC-4B79-81BD-452DF34896CD}"/>
            </a:ext>
          </a:extLst>
        </xdr:cNvPr>
        <xdr:cNvSpPr/>
      </xdr:nvSpPr>
      <xdr:spPr>
        <a:xfrm>
          <a:off x="0" y="175964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0</xdr:col>
      <xdr:colOff>323850</xdr:colOff>
      <xdr:row>937</xdr:row>
      <xdr:rowOff>120650</xdr:rowOff>
    </xdr:to>
    <xdr:sp macro="" textlink="">
      <xdr:nvSpPr>
        <xdr:cNvPr id="278" name="Frame 248">
          <a:extLst>
            <a:ext uri="{FF2B5EF4-FFF2-40B4-BE49-F238E27FC236}">
              <a16:creationId xmlns:a16="http://schemas.microsoft.com/office/drawing/2014/main" id="{2071EABB-975A-4323-B8A5-EC97884557CD}"/>
            </a:ext>
            <a:ext uri="{147F2762-F138-4A5C-976F-8EAC2B608ADB}">
              <a16:predDERef xmlns:a16="http://schemas.microsoft.com/office/drawing/2014/main" pred="{CB5463E4-A64A-4038-9F6B-809628F92DDF}"/>
            </a:ext>
          </a:extLst>
        </xdr:cNvPr>
        <xdr:cNvSpPr/>
      </xdr:nvSpPr>
      <xdr:spPr>
        <a:xfrm>
          <a:off x="0" y="176345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938</xdr:row>
      <xdr:rowOff>0</xdr:rowOff>
    </xdr:from>
    <xdr:to>
      <xdr:col>0</xdr:col>
      <xdr:colOff>323850</xdr:colOff>
      <xdr:row>939</xdr:row>
      <xdr:rowOff>120650</xdr:rowOff>
    </xdr:to>
    <xdr:sp macro="" textlink="">
      <xdr:nvSpPr>
        <xdr:cNvPr id="279" name="Frame 249">
          <a:extLst>
            <a:ext uri="{FF2B5EF4-FFF2-40B4-BE49-F238E27FC236}">
              <a16:creationId xmlns:a16="http://schemas.microsoft.com/office/drawing/2014/main" id="{ED17BB03-180B-48CA-94B8-834EAF747E9C}"/>
            </a:ext>
            <a:ext uri="{147F2762-F138-4A5C-976F-8EAC2B608ADB}">
              <a16:predDERef xmlns:a16="http://schemas.microsoft.com/office/drawing/2014/main" pred="{2071EABB-975A-4323-B8A5-EC97884557CD}"/>
            </a:ext>
          </a:extLst>
        </xdr:cNvPr>
        <xdr:cNvSpPr/>
      </xdr:nvSpPr>
      <xdr:spPr>
        <a:xfrm>
          <a:off x="0" y="176726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940</xdr:row>
      <xdr:rowOff>0</xdr:rowOff>
    </xdr:from>
    <xdr:to>
      <xdr:col>0</xdr:col>
      <xdr:colOff>323850</xdr:colOff>
      <xdr:row>941</xdr:row>
      <xdr:rowOff>120650</xdr:rowOff>
    </xdr:to>
    <xdr:sp macro="" textlink="">
      <xdr:nvSpPr>
        <xdr:cNvPr id="280" name="Frame 250">
          <a:extLst>
            <a:ext uri="{FF2B5EF4-FFF2-40B4-BE49-F238E27FC236}">
              <a16:creationId xmlns:a16="http://schemas.microsoft.com/office/drawing/2014/main" id="{BE489058-B6D8-476D-973B-16E86507DE5D}"/>
            </a:ext>
            <a:ext uri="{147F2762-F138-4A5C-976F-8EAC2B608ADB}">
              <a16:predDERef xmlns:a16="http://schemas.microsoft.com/office/drawing/2014/main" pred="{ED17BB03-180B-48CA-94B8-834EAF747E9C}"/>
            </a:ext>
          </a:extLst>
        </xdr:cNvPr>
        <xdr:cNvSpPr/>
      </xdr:nvSpPr>
      <xdr:spPr>
        <a:xfrm>
          <a:off x="0" y="177107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942</xdr:row>
      <xdr:rowOff>0</xdr:rowOff>
    </xdr:from>
    <xdr:to>
      <xdr:col>0</xdr:col>
      <xdr:colOff>323850</xdr:colOff>
      <xdr:row>943</xdr:row>
      <xdr:rowOff>120650</xdr:rowOff>
    </xdr:to>
    <xdr:sp macro="" textlink="">
      <xdr:nvSpPr>
        <xdr:cNvPr id="281" name="Frame 251">
          <a:extLst>
            <a:ext uri="{FF2B5EF4-FFF2-40B4-BE49-F238E27FC236}">
              <a16:creationId xmlns:a16="http://schemas.microsoft.com/office/drawing/2014/main" id="{94F2B33F-77F5-463F-8207-D7358BCA02F7}"/>
            </a:ext>
            <a:ext uri="{147F2762-F138-4A5C-976F-8EAC2B608ADB}">
              <a16:predDERef xmlns:a16="http://schemas.microsoft.com/office/drawing/2014/main" pred="{BE489058-B6D8-476D-973B-16E86507DE5D}"/>
            </a:ext>
          </a:extLst>
        </xdr:cNvPr>
        <xdr:cNvSpPr/>
      </xdr:nvSpPr>
      <xdr:spPr>
        <a:xfrm>
          <a:off x="0" y="177488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946</xdr:row>
      <xdr:rowOff>0</xdr:rowOff>
    </xdr:from>
    <xdr:to>
      <xdr:col>0</xdr:col>
      <xdr:colOff>323850</xdr:colOff>
      <xdr:row>947</xdr:row>
      <xdr:rowOff>120650</xdr:rowOff>
    </xdr:to>
    <xdr:sp macro="" textlink="">
      <xdr:nvSpPr>
        <xdr:cNvPr id="284" name="Frame 271">
          <a:extLst>
            <a:ext uri="{FF2B5EF4-FFF2-40B4-BE49-F238E27FC236}">
              <a16:creationId xmlns:a16="http://schemas.microsoft.com/office/drawing/2014/main" id="{176B58BA-04AB-4B87-B61B-F6C305C0E33D}"/>
            </a:ext>
            <a:ext uri="{147F2762-F138-4A5C-976F-8EAC2B608ADB}">
              <a16:predDERef xmlns:a16="http://schemas.microsoft.com/office/drawing/2014/main" pred="{9ED960AD-67E6-409A-927D-793109676F7F}"/>
            </a:ext>
          </a:extLst>
        </xdr:cNvPr>
        <xdr:cNvSpPr/>
      </xdr:nvSpPr>
      <xdr:spPr>
        <a:xfrm>
          <a:off x="0" y="177869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961</xdr:row>
      <xdr:rowOff>177800</xdr:rowOff>
    </xdr:from>
    <xdr:to>
      <xdr:col>0</xdr:col>
      <xdr:colOff>330200</xdr:colOff>
      <xdr:row>963</xdr:row>
      <xdr:rowOff>114300</xdr:rowOff>
    </xdr:to>
    <xdr:sp macro="" textlink="">
      <xdr:nvSpPr>
        <xdr:cNvPr id="286" name="Frame 244">
          <a:extLst>
            <a:ext uri="{FF2B5EF4-FFF2-40B4-BE49-F238E27FC236}">
              <a16:creationId xmlns:a16="http://schemas.microsoft.com/office/drawing/2014/main" id="{BD3A45A3-A7A7-4281-B0F3-3559CC91ADCE}"/>
            </a:ext>
            <a:ext uri="{147F2762-F138-4A5C-976F-8EAC2B608ADB}">
              <a16:predDERef xmlns:a16="http://schemas.microsoft.com/office/drawing/2014/main" pred="{176B58BA-04AB-4B87-B61B-F6C305C0E33D}"/>
            </a:ext>
          </a:extLst>
        </xdr:cNvPr>
        <xdr:cNvSpPr/>
      </xdr:nvSpPr>
      <xdr:spPr>
        <a:xfrm>
          <a:off x="6350" y="174809150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964</xdr:row>
      <xdr:rowOff>0</xdr:rowOff>
    </xdr:from>
    <xdr:to>
      <xdr:col>0</xdr:col>
      <xdr:colOff>323850</xdr:colOff>
      <xdr:row>965</xdr:row>
      <xdr:rowOff>120650</xdr:rowOff>
    </xdr:to>
    <xdr:sp macro="" textlink="">
      <xdr:nvSpPr>
        <xdr:cNvPr id="287" name="Frame 245">
          <a:extLst>
            <a:ext uri="{FF2B5EF4-FFF2-40B4-BE49-F238E27FC236}">
              <a16:creationId xmlns:a16="http://schemas.microsoft.com/office/drawing/2014/main" id="{1FB4A7FE-199C-47F5-BC15-B9A09E786C5D}"/>
            </a:ext>
            <a:ext uri="{147F2762-F138-4A5C-976F-8EAC2B608ADB}">
              <a16:predDERef xmlns:a16="http://schemas.microsoft.com/office/drawing/2014/main" pred="{BD3A45A3-A7A7-4281-B0F3-3559CC91ADCE}"/>
            </a:ext>
          </a:extLst>
        </xdr:cNvPr>
        <xdr:cNvSpPr/>
      </xdr:nvSpPr>
      <xdr:spPr>
        <a:xfrm>
          <a:off x="0" y="175202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966</xdr:row>
      <xdr:rowOff>0</xdr:rowOff>
    </xdr:from>
    <xdr:to>
      <xdr:col>0</xdr:col>
      <xdr:colOff>323850</xdr:colOff>
      <xdr:row>967</xdr:row>
      <xdr:rowOff>120650</xdr:rowOff>
    </xdr:to>
    <xdr:sp macro="" textlink="">
      <xdr:nvSpPr>
        <xdr:cNvPr id="288" name="Frame 246">
          <a:extLst>
            <a:ext uri="{FF2B5EF4-FFF2-40B4-BE49-F238E27FC236}">
              <a16:creationId xmlns:a16="http://schemas.microsoft.com/office/drawing/2014/main" id="{07328A5F-E102-4E31-96DB-A3F71A35FBF3}"/>
            </a:ext>
            <a:ext uri="{147F2762-F138-4A5C-976F-8EAC2B608ADB}">
              <a16:predDERef xmlns:a16="http://schemas.microsoft.com/office/drawing/2014/main" pred="{1FB4A7FE-199C-47F5-BC15-B9A09E786C5D}"/>
            </a:ext>
          </a:extLst>
        </xdr:cNvPr>
        <xdr:cNvSpPr/>
      </xdr:nvSpPr>
      <xdr:spPr>
        <a:xfrm>
          <a:off x="0" y="175583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323850</xdr:colOff>
      <xdr:row>969</xdr:row>
      <xdr:rowOff>120650</xdr:rowOff>
    </xdr:to>
    <xdr:sp macro="" textlink="">
      <xdr:nvSpPr>
        <xdr:cNvPr id="289" name="Frame 247">
          <a:extLst>
            <a:ext uri="{FF2B5EF4-FFF2-40B4-BE49-F238E27FC236}">
              <a16:creationId xmlns:a16="http://schemas.microsoft.com/office/drawing/2014/main" id="{9E4F0FA1-F19D-4F71-89B4-98D9DAB5E8E4}"/>
            </a:ext>
            <a:ext uri="{147F2762-F138-4A5C-976F-8EAC2B608ADB}">
              <a16:predDERef xmlns:a16="http://schemas.microsoft.com/office/drawing/2014/main" pred="{07328A5F-E102-4E31-96DB-A3F71A35FBF3}"/>
            </a:ext>
          </a:extLst>
        </xdr:cNvPr>
        <xdr:cNvSpPr/>
      </xdr:nvSpPr>
      <xdr:spPr>
        <a:xfrm>
          <a:off x="0" y="175964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970</xdr:row>
      <xdr:rowOff>0</xdr:rowOff>
    </xdr:from>
    <xdr:to>
      <xdr:col>0</xdr:col>
      <xdr:colOff>323850</xdr:colOff>
      <xdr:row>971</xdr:row>
      <xdr:rowOff>120650</xdr:rowOff>
    </xdr:to>
    <xdr:sp macro="" textlink="">
      <xdr:nvSpPr>
        <xdr:cNvPr id="290" name="Frame 248">
          <a:extLst>
            <a:ext uri="{FF2B5EF4-FFF2-40B4-BE49-F238E27FC236}">
              <a16:creationId xmlns:a16="http://schemas.microsoft.com/office/drawing/2014/main" id="{D04D8996-F81D-4E64-BBFD-307B81578B64}"/>
            </a:ext>
            <a:ext uri="{147F2762-F138-4A5C-976F-8EAC2B608ADB}">
              <a16:predDERef xmlns:a16="http://schemas.microsoft.com/office/drawing/2014/main" pred="{9E4F0FA1-F19D-4F71-89B4-98D9DAB5E8E4}"/>
            </a:ext>
          </a:extLst>
        </xdr:cNvPr>
        <xdr:cNvSpPr/>
      </xdr:nvSpPr>
      <xdr:spPr>
        <a:xfrm>
          <a:off x="0" y="176345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972</xdr:row>
      <xdr:rowOff>0</xdr:rowOff>
    </xdr:from>
    <xdr:to>
      <xdr:col>0</xdr:col>
      <xdr:colOff>323850</xdr:colOff>
      <xdr:row>973</xdr:row>
      <xdr:rowOff>120650</xdr:rowOff>
    </xdr:to>
    <xdr:sp macro="" textlink="">
      <xdr:nvSpPr>
        <xdr:cNvPr id="291" name="Frame 249">
          <a:extLst>
            <a:ext uri="{FF2B5EF4-FFF2-40B4-BE49-F238E27FC236}">
              <a16:creationId xmlns:a16="http://schemas.microsoft.com/office/drawing/2014/main" id="{EE2B4EC2-FA25-438D-BA45-078665051D4F}"/>
            </a:ext>
            <a:ext uri="{147F2762-F138-4A5C-976F-8EAC2B608ADB}">
              <a16:predDERef xmlns:a16="http://schemas.microsoft.com/office/drawing/2014/main" pred="{D04D8996-F81D-4E64-BBFD-307B81578B64}"/>
            </a:ext>
          </a:extLst>
        </xdr:cNvPr>
        <xdr:cNvSpPr/>
      </xdr:nvSpPr>
      <xdr:spPr>
        <a:xfrm>
          <a:off x="0" y="176726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974</xdr:row>
      <xdr:rowOff>0</xdr:rowOff>
    </xdr:from>
    <xdr:to>
      <xdr:col>0</xdr:col>
      <xdr:colOff>323850</xdr:colOff>
      <xdr:row>975</xdr:row>
      <xdr:rowOff>120650</xdr:rowOff>
    </xdr:to>
    <xdr:sp macro="" textlink="">
      <xdr:nvSpPr>
        <xdr:cNvPr id="292" name="Frame 250">
          <a:extLst>
            <a:ext uri="{FF2B5EF4-FFF2-40B4-BE49-F238E27FC236}">
              <a16:creationId xmlns:a16="http://schemas.microsoft.com/office/drawing/2014/main" id="{D00E02B8-BB55-4FBC-BDA7-197DDAD08667}"/>
            </a:ext>
            <a:ext uri="{147F2762-F138-4A5C-976F-8EAC2B608ADB}">
              <a16:predDERef xmlns:a16="http://schemas.microsoft.com/office/drawing/2014/main" pred="{EE2B4EC2-FA25-438D-BA45-078665051D4F}"/>
            </a:ext>
          </a:extLst>
        </xdr:cNvPr>
        <xdr:cNvSpPr/>
      </xdr:nvSpPr>
      <xdr:spPr>
        <a:xfrm>
          <a:off x="0" y="177107850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944</xdr:row>
      <xdr:rowOff>0</xdr:rowOff>
    </xdr:from>
    <xdr:to>
      <xdr:col>0</xdr:col>
      <xdr:colOff>323850</xdr:colOff>
      <xdr:row>945</xdr:row>
      <xdr:rowOff>120650</xdr:rowOff>
    </xdr:to>
    <xdr:sp macro="" textlink="">
      <xdr:nvSpPr>
        <xdr:cNvPr id="298" name="Frame 297">
          <a:extLst>
            <a:ext uri="{FF2B5EF4-FFF2-40B4-BE49-F238E27FC236}">
              <a16:creationId xmlns:a16="http://schemas.microsoft.com/office/drawing/2014/main" id="{A8F62212-FB4A-462F-8A39-3EF82CCBAE11}"/>
            </a:ext>
            <a:ext uri="{147F2762-F138-4A5C-976F-8EAC2B608ADB}">
              <a16:predDERef xmlns:a16="http://schemas.microsoft.com/office/drawing/2014/main" pred="{D00E02B8-BB55-4FBC-BDA7-197DDAD08667}"/>
            </a:ext>
          </a:extLst>
        </xdr:cNvPr>
        <xdr:cNvSpPr/>
      </xdr:nvSpPr>
      <xdr:spPr>
        <a:xfrm>
          <a:off x="0" y="1852517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5BED6846-612B-4A78-A1EA-7A4A9CA6949D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F96B31F5-80D2-43BC-A984-40EA23BB8220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21619EBF-A821-4865-A965-8EABAF873B09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16" name="Frame 15">
          <a:extLst>
            <a:ext uri="{FF2B5EF4-FFF2-40B4-BE49-F238E27FC236}">
              <a16:creationId xmlns:a16="http://schemas.microsoft.com/office/drawing/2014/main" id="{F6AAA657-6809-49AE-9AFD-52710F405B0B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2AA471CB-8CC3-4415-96BF-807984203C71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5AD5ABD5-9B32-493E-9E38-BFC54BC1DDE2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18</xdr:row>
      <xdr:rowOff>120650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534649EF-B696-432B-AEC8-8A30255C474B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323850</xdr:colOff>
      <xdr:row>20</xdr:row>
      <xdr:rowOff>120650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8A367DF6-C5F2-4CBD-B70D-6036C8845FF3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323850</xdr:colOff>
      <xdr:row>50</xdr:row>
      <xdr:rowOff>120650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B654B2F6-B689-4E1E-BB87-0C968547E2CD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323850</xdr:colOff>
      <xdr:row>52</xdr:row>
      <xdr:rowOff>120650</xdr:rowOff>
    </xdr:to>
    <xdr:sp macro="" textlink="">
      <xdr:nvSpPr>
        <xdr:cNvPr id="12" name="Frame 11">
          <a:extLst>
            <a:ext uri="{FF2B5EF4-FFF2-40B4-BE49-F238E27FC236}">
              <a16:creationId xmlns:a16="http://schemas.microsoft.com/office/drawing/2014/main" id="{92E21767-B7EE-4BC8-94DA-96FE9F8C8346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323850</xdr:colOff>
      <xdr:row>54</xdr:row>
      <xdr:rowOff>120650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4D2A66B9-9EED-4B86-BDB1-D22B8051AA7E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323850</xdr:colOff>
      <xdr:row>56</xdr:row>
      <xdr:rowOff>120650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62C70F4B-334E-431E-94C2-D036A5CADBA1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323850</xdr:colOff>
      <xdr:row>58</xdr:row>
      <xdr:rowOff>120650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FFA2118E-4DB2-40AD-BFBD-BB71B82782C5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323850</xdr:colOff>
      <xdr:row>60</xdr:row>
      <xdr:rowOff>120650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C0D5CF31-08CA-4D59-9584-C53CF28FC882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323850</xdr:colOff>
      <xdr:row>62</xdr:row>
      <xdr:rowOff>120650</xdr:rowOff>
    </xdr:to>
    <xdr:sp macro="" textlink="">
      <xdr:nvSpPr>
        <xdr:cNvPr id="26" name="Frame 25">
          <a:extLst>
            <a:ext uri="{FF2B5EF4-FFF2-40B4-BE49-F238E27FC236}">
              <a16:creationId xmlns:a16="http://schemas.microsoft.com/office/drawing/2014/main" id="{735CB82F-91FB-4DAA-A1AC-00779297F0A7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323850</xdr:colOff>
      <xdr:row>64</xdr:row>
      <xdr:rowOff>120650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D2692321-7E2C-4CA7-BED7-BA833E7FB9A6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323850</xdr:colOff>
      <xdr:row>66</xdr:row>
      <xdr:rowOff>120650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8A9EF380-7B62-4EFA-80AE-13F548DC878F}"/>
            </a:ext>
          </a:extLst>
        </xdr:cNvPr>
        <xdr:cNvSpPr/>
      </xdr:nvSpPr>
      <xdr:spPr>
        <a:xfrm>
          <a:off x="0" y="9931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323850</xdr:colOff>
      <xdr:row>89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9BB7DC6B-A51E-4FD0-B1E0-BA85ACBCDD16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323850</xdr:colOff>
      <xdr:row>91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5420C791-7C89-4505-A854-9BD8015FE799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323850</xdr:colOff>
      <xdr:row>93</xdr:row>
      <xdr:rowOff>120650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BBA0FE4B-EBD0-4E05-8288-5BA9972FF45A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323850</xdr:colOff>
      <xdr:row>95</xdr:row>
      <xdr:rowOff>120650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09557DA4-9B0B-44BF-B0F7-2E240C191277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323850</xdr:colOff>
      <xdr:row>97</xdr:row>
      <xdr:rowOff>120650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156AC06C-0E2C-43B2-86F1-BECB87D63B9B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323850</xdr:colOff>
      <xdr:row>99</xdr:row>
      <xdr:rowOff>120650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D58D4E01-41E3-4CE5-A099-7C59ED18FA18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323850</xdr:colOff>
      <xdr:row>101</xdr:row>
      <xdr:rowOff>120650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0E8C89C0-2BC6-4740-A0C4-780E1A07B821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323850</xdr:colOff>
      <xdr:row>103</xdr:row>
      <xdr:rowOff>120650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5E8EDAF1-5B18-4D79-BA21-8D04513A1CA4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49B68B77-2377-4C3C-A57D-BD6403591242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323850</xdr:colOff>
      <xdr:row>121</xdr:row>
      <xdr:rowOff>120650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88C650FF-B7E7-4B57-8176-D513F5727DB5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323850</xdr:colOff>
      <xdr:row>123</xdr:row>
      <xdr:rowOff>120650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CA67EF21-BBF7-4BA4-A85E-E7F23B8EEA4A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323850</xdr:colOff>
      <xdr:row>125</xdr:row>
      <xdr:rowOff>120650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CD02275B-9978-44E6-9AA5-94A044E24ECE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323850</xdr:colOff>
      <xdr:row>127</xdr:row>
      <xdr:rowOff>120650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18863C55-6780-4C56-BE68-B68273E7B47F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323850</xdr:colOff>
      <xdr:row>129</xdr:row>
      <xdr:rowOff>120650</xdr:rowOff>
    </xdr:to>
    <xdr:sp macro="" textlink="">
      <xdr:nvSpPr>
        <xdr:cNvPr id="46" name="Frame 45">
          <a:extLst>
            <a:ext uri="{FF2B5EF4-FFF2-40B4-BE49-F238E27FC236}">
              <a16:creationId xmlns:a16="http://schemas.microsoft.com/office/drawing/2014/main" id="{E09B310A-6D9C-40A6-A1AF-F52A6F39F38C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323850</xdr:colOff>
      <xdr:row>131</xdr:row>
      <xdr:rowOff>120650</xdr:rowOff>
    </xdr:to>
    <xdr:sp macro="" textlink="">
      <xdr:nvSpPr>
        <xdr:cNvPr id="47" name="Frame 46">
          <a:extLst>
            <a:ext uri="{FF2B5EF4-FFF2-40B4-BE49-F238E27FC236}">
              <a16:creationId xmlns:a16="http://schemas.microsoft.com/office/drawing/2014/main" id="{C1B19BE8-B9AB-477D-9EDB-0D22657D25D8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323850</xdr:colOff>
      <xdr:row>133</xdr:row>
      <xdr:rowOff>120650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AC8CB36B-B31C-4C73-B5B3-98694B990D21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323850</xdr:colOff>
      <xdr:row>135</xdr:row>
      <xdr:rowOff>120650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AFD31B35-F15F-4B3B-8960-AA6CCC80163D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323850</xdr:colOff>
      <xdr:row>137</xdr:row>
      <xdr:rowOff>120650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9130CA9F-8089-4F19-BCD0-36B31B3AE0FC}"/>
            </a:ext>
          </a:extLst>
        </xdr:cNvPr>
        <xdr:cNvSpPr/>
      </xdr:nvSpPr>
      <xdr:spPr>
        <a:xfrm>
          <a:off x="0" y="2301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323850</xdr:colOff>
      <xdr:row>139</xdr:row>
      <xdr:rowOff>120650</xdr:rowOff>
    </xdr:to>
    <xdr:sp macro="" textlink="">
      <xdr:nvSpPr>
        <xdr:cNvPr id="51" name="Frame 50">
          <a:extLst>
            <a:ext uri="{FF2B5EF4-FFF2-40B4-BE49-F238E27FC236}">
              <a16:creationId xmlns:a16="http://schemas.microsoft.com/office/drawing/2014/main" id="{7CE2C483-DCBD-4EFE-96B8-A0A55DBCA8B6}"/>
            </a:ext>
          </a:extLst>
        </xdr:cNvPr>
        <xdr:cNvSpPr/>
      </xdr:nvSpPr>
      <xdr:spPr>
        <a:xfrm>
          <a:off x="0" y="2338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323850</xdr:colOff>
      <xdr:row>141</xdr:row>
      <xdr:rowOff>120650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FE20467B-8B77-4D06-A632-06E9D6498FB0}"/>
            </a:ext>
          </a:extLst>
        </xdr:cNvPr>
        <xdr:cNvSpPr/>
      </xdr:nvSpPr>
      <xdr:spPr>
        <a:xfrm>
          <a:off x="0" y="2375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323850</xdr:colOff>
      <xdr:row>143</xdr:row>
      <xdr:rowOff>120650</xdr:rowOff>
    </xdr:to>
    <xdr:sp macro="" textlink="">
      <xdr:nvSpPr>
        <xdr:cNvPr id="53" name="Frame 52">
          <a:extLst>
            <a:ext uri="{FF2B5EF4-FFF2-40B4-BE49-F238E27FC236}">
              <a16:creationId xmlns:a16="http://schemas.microsoft.com/office/drawing/2014/main" id="{2E52A7F8-43DF-4BC3-A108-881DA37C09EF}"/>
            </a:ext>
          </a:extLst>
        </xdr:cNvPr>
        <xdr:cNvSpPr/>
      </xdr:nvSpPr>
      <xdr:spPr>
        <a:xfrm>
          <a:off x="0" y="2412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323850</xdr:colOff>
      <xdr:row>159</xdr:row>
      <xdr:rowOff>120650</xdr:rowOff>
    </xdr:to>
    <xdr:sp macro="" textlink="">
      <xdr:nvSpPr>
        <xdr:cNvPr id="54" name="Frame 53">
          <a:extLst>
            <a:ext uri="{FF2B5EF4-FFF2-40B4-BE49-F238E27FC236}">
              <a16:creationId xmlns:a16="http://schemas.microsoft.com/office/drawing/2014/main" id="{F961DAC2-94DA-4B1E-A701-49013C7628B9}"/>
            </a:ext>
          </a:extLst>
        </xdr:cNvPr>
        <xdr:cNvSpPr/>
      </xdr:nvSpPr>
      <xdr:spPr>
        <a:xfrm>
          <a:off x="0" y="19704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323850</xdr:colOff>
      <xdr:row>161</xdr:row>
      <xdr:rowOff>120650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5E9B0CF3-3EC9-4626-9832-44F4D5133796}"/>
            </a:ext>
          </a:extLst>
        </xdr:cNvPr>
        <xdr:cNvSpPr/>
      </xdr:nvSpPr>
      <xdr:spPr>
        <a:xfrm>
          <a:off x="0" y="20072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323850</xdr:colOff>
      <xdr:row>163</xdr:row>
      <xdr:rowOff>120650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9FC58B05-6FA1-4FB5-9073-F57911EB14FD}"/>
            </a:ext>
          </a:extLst>
        </xdr:cNvPr>
        <xdr:cNvSpPr/>
      </xdr:nvSpPr>
      <xdr:spPr>
        <a:xfrm>
          <a:off x="0" y="20440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323850</xdr:colOff>
      <xdr:row>165</xdr:row>
      <xdr:rowOff>120650</xdr:rowOff>
    </xdr:to>
    <xdr:sp macro="" textlink="">
      <xdr:nvSpPr>
        <xdr:cNvPr id="57" name="Frame 56">
          <a:extLst>
            <a:ext uri="{FF2B5EF4-FFF2-40B4-BE49-F238E27FC236}">
              <a16:creationId xmlns:a16="http://schemas.microsoft.com/office/drawing/2014/main" id="{A043637B-644E-47AD-9266-7141634FED76}"/>
            </a:ext>
          </a:extLst>
        </xdr:cNvPr>
        <xdr:cNvSpPr/>
      </xdr:nvSpPr>
      <xdr:spPr>
        <a:xfrm>
          <a:off x="0" y="20808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323850</xdr:colOff>
      <xdr:row>167</xdr:row>
      <xdr:rowOff>120650</xdr:rowOff>
    </xdr:to>
    <xdr:sp macro="" textlink="">
      <xdr:nvSpPr>
        <xdr:cNvPr id="58" name="Frame 57">
          <a:extLst>
            <a:ext uri="{FF2B5EF4-FFF2-40B4-BE49-F238E27FC236}">
              <a16:creationId xmlns:a16="http://schemas.microsoft.com/office/drawing/2014/main" id="{E884B692-E690-4966-946F-5A86151ED228}"/>
            </a:ext>
          </a:extLst>
        </xdr:cNvPr>
        <xdr:cNvSpPr/>
      </xdr:nvSpPr>
      <xdr:spPr>
        <a:xfrm>
          <a:off x="0" y="21177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323850</xdr:colOff>
      <xdr:row>169</xdr:row>
      <xdr:rowOff>120650</xdr:rowOff>
    </xdr:to>
    <xdr:sp macro="" textlink="">
      <xdr:nvSpPr>
        <xdr:cNvPr id="59" name="Frame 58">
          <a:extLst>
            <a:ext uri="{FF2B5EF4-FFF2-40B4-BE49-F238E27FC236}">
              <a16:creationId xmlns:a16="http://schemas.microsoft.com/office/drawing/2014/main" id="{19FB439F-94BF-4FD4-A5C5-D33DE79CFB48}"/>
            </a:ext>
          </a:extLst>
        </xdr:cNvPr>
        <xdr:cNvSpPr/>
      </xdr:nvSpPr>
      <xdr:spPr>
        <a:xfrm>
          <a:off x="0" y="21545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323850</xdr:colOff>
      <xdr:row>171</xdr:row>
      <xdr:rowOff>120650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DA7D2955-F379-49B3-8776-0B3CAFDD4DE2}"/>
            </a:ext>
          </a:extLst>
        </xdr:cNvPr>
        <xdr:cNvSpPr/>
      </xdr:nvSpPr>
      <xdr:spPr>
        <a:xfrm>
          <a:off x="0" y="2191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323850</xdr:colOff>
      <xdr:row>173</xdr:row>
      <xdr:rowOff>120650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B8D595EA-56B4-4BB5-A1B1-E8657F3229E9}"/>
            </a:ext>
          </a:extLst>
        </xdr:cNvPr>
        <xdr:cNvSpPr/>
      </xdr:nvSpPr>
      <xdr:spPr>
        <a:xfrm>
          <a:off x="0" y="2228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323850</xdr:colOff>
      <xdr:row>175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13B992FB-5688-4031-8318-97B2E27B73CA}"/>
            </a:ext>
          </a:extLst>
        </xdr:cNvPr>
        <xdr:cNvSpPr/>
      </xdr:nvSpPr>
      <xdr:spPr>
        <a:xfrm>
          <a:off x="0" y="2265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323850</xdr:colOff>
      <xdr:row>177</xdr:row>
      <xdr:rowOff>120650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DE90222E-2708-4717-8492-CBA9FB85D619}"/>
            </a:ext>
          </a:extLst>
        </xdr:cNvPr>
        <xdr:cNvSpPr/>
      </xdr:nvSpPr>
      <xdr:spPr>
        <a:xfrm>
          <a:off x="0" y="2301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323850</xdr:colOff>
      <xdr:row>193</xdr:row>
      <xdr:rowOff>120650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115C2EEC-E20F-4E12-A3AE-1A2313B3084A}"/>
            </a:ext>
          </a:extLst>
        </xdr:cNvPr>
        <xdr:cNvSpPr/>
      </xdr:nvSpPr>
      <xdr:spPr>
        <a:xfrm>
          <a:off x="0" y="2707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323850</xdr:colOff>
      <xdr:row>195</xdr:row>
      <xdr:rowOff>120650</xdr:rowOff>
    </xdr:to>
    <xdr:sp macro="" textlink="">
      <xdr:nvSpPr>
        <xdr:cNvPr id="68" name="Frame 67">
          <a:extLst>
            <a:ext uri="{FF2B5EF4-FFF2-40B4-BE49-F238E27FC236}">
              <a16:creationId xmlns:a16="http://schemas.microsoft.com/office/drawing/2014/main" id="{63169869-34BA-4D4C-BD26-BC1FCA9BFB96}"/>
            </a:ext>
          </a:extLst>
        </xdr:cNvPr>
        <xdr:cNvSpPr/>
      </xdr:nvSpPr>
      <xdr:spPr>
        <a:xfrm>
          <a:off x="0" y="2744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323850</xdr:colOff>
      <xdr:row>197</xdr:row>
      <xdr:rowOff>120650</xdr:rowOff>
    </xdr:to>
    <xdr:sp macro="" textlink="">
      <xdr:nvSpPr>
        <xdr:cNvPr id="69" name="Frame 68">
          <a:extLst>
            <a:ext uri="{FF2B5EF4-FFF2-40B4-BE49-F238E27FC236}">
              <a16:creationId xmlns:a16="http://schemas.microsoft.com/office/drawing/2014/main" id="{7BC7B67E-27F7-4FD0-B969-E05558543ADB}"/>
            </a:ext>
          </a:extLst>
        </xdr:cNvPr>
        <xdr:cNvSpPr/>
      </xdr:nvSpPr>
      <xdr:spPr>
        <a:xfrm>
          <a:off x="0" y="2781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323850</xdr:colOff>
      <xdr:row>199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813052EA-3E48-44D8-BA30-F7B2B39AC013}"/>
            </a:ext>
          </a:extLst>
        </xdr:cNvPr>
        <xdr:cNvSpPr/>
      </xdr:nvSpPr>
      <xdr:spPr>
        <a:xfrm>
          <a:off x="0" y="2818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323850</xdr:colOff>
      <xdr:row>201</xdr:row>
      <xdr:rowOff>120650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A5FA4034-053C-48EE-9019-2964855CEEE0}"/>
            </a:ext>
          </a:extLst>
        </xdr:cNvPr>
        <xdr:cNvSpPr/>
      </xdr:nvSpPr>
      <xdr:spPr>
        <a:xfrm>
          <a:off x="0" y="2854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323850</xdr:colOff>
      <xdr:row>203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1A3FDA55-8FFA-4427-A70D-28E1EDA8C40B}"/>
            </a:ext>
          </a:extLst>
        </xdr:cNvPr>
        <xdr:cNvSpPr/>
      </xdr:nvSpPr>
      <xdr:spPr>
        <a:xfrm>
          <a:off x="0" y="2891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323850</xdr:colOff>
      <xdr:row>205</xdr:row>
      <xdr:rowOff>120650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5B03B288-2E1F-4036-846B-5730CFE96986}"/>
            </a:ext>
          </a:extLst>
        </xdr:cNvPr>
        <xdr:cNvSpPr/>
      </xdr:nvSpPr>
      <xdr:spPr>
        <a:xfrm>
          <a:off x="0" y="2928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220</xdr:row>
      <xdr:rowOff>0</xdr:rowOff>
    </xdr:from>
    <xdr:to>
      <xdr:col>0</xdr:col>
      <xdr:colOff>323850</xdr:colOff>
      <xdr:row>221</xdr:row>
      <xdr:rowOff>120650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AC772C56-5BC9-431F-BCCE-5406DF1D42EB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0</xdr:col>
      <xdr:colOff>323850</xdr:colOff>
      <xdr:row>223</xdr:row>
      <xdr:rowOff>120650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122370DE-FCB2-400B-B127-FAA72F90E394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0</xdr:col>
      <xdr:colOff>323850</xdr:colOff>
      <xdr:row>225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0D8D48DE-7C38-4DA9-AD88-C5BD8AA56AB3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0</xdr:col>
      <xdr:colOff>323850</xdr:colOff>
      <xdr:row>227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3687DAC3-F27B-438C-B297-E8097552544A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323850</xdr:colOff>
      <xdr:row>229</xdr:row>
      <xdr:rowOff>120650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BC1845DD-7FF6-49C4-AE61-0D814E7993B2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0</xdr:col>
      <xdr:colOff>323850</xdr:colOff>
      <xdr:row>231</xdr:row>
      <xdr:rowOff>120650</xdr:rowOff>
    </xdr:to>
    <xdr:sp macro="" textlink="">
      <xdr:nvSpPr>
        <xdr:cNvPr id="76" name="Frame 75">
          <a:extLst>
            <a:ext uri="{FF2B5EF4-FFF2-40B4-BE49-F238E27FC236}">
              <a16:creationId xmlns:a16="http://schemas.microsoft.com/office/drawing/2014/main" id="{AF3D1531-9F7C-47D5-A4D5-8CEB5BA6BC67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323850</xdr:colOff>
      <xdr:row>233</xdr:row>
      <xdr:rowOff>120650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24756D84-7C50-4450-A519-F239EC97F811}"/>
            </a:ext>
          </a:extLst>
        </xdr:cNvPr>
        <xdr:cNvSpPr/>
      </xdr:nvSpPr>
      <xdr:spPr>
        <a:xfrm>
          <a:off x="0" y="329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234</xdr:row>
      <xdr:rowOff>0</xdr:rowOff>
    </xdr:from>
    <xdr:to>
      <xdr:col>0</xdr:col>
      <xdr:colOff>323850</xdr:colOff>
      <xdr:row>235</xdr:row>
      <xdr:rowOff>120650</xdr:rowOff>
    </xdr:to>
    <xdr:sp macro="" textlink="">
      <xdr:nvSpPr>
        <xdr:cNvPr id="78" name="Frame 77">
          <a:extLst>
            <a:ext uri="{FF2B5EF4-FFF2-40B4-BE49-F238E27FC236}">
              <a16:creationId xmlns:a16="http://schemas.microsoft.com/office/drawing/2014/main" id="{9E8D97EF-931F-481C-AAE4-7BEFD60EEDB8}"/>
            </a:ext>
          </a:extLst>
        </xdr:cNvPr>
        <xdr:cNvSpPr/>
      </xdr:nvSpPr>
      <xdr:spPr>
        <a:xfrm>
          <a:off x="0" y="366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323850</xdr:colOff>
      <xdr:row>237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B5FE0DA0-F617-477B-B131-3C2793C6D686}"/>
            </a:ext>
          </a:extLst>
        </xdr:cNvPr>
        <xdr:cNvSpPr/>
      </xdr:nvSpPr>
      <xdr:spPr>
        <a:xfrm>
          <a:off x="0" y="403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323850</xdr:colOff>
      <xdr:row>239</xdr:row>
      <xdr:rowOff>120650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515A2EF8-6923-4609-A022-4CC994586430}"/>
            </a:ext>
          </a:extLst>
        </xdr:cNvPr>
        <xdr:cNvSpPr/>
      </xdr:nvSpPr>
      <xdr:spPr>
        <a:xfrm>
          <a:off x="0" y="440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323850</xdr:colOff>
      <xdr:row>241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0F55E836-8727-4FD2-9080-F79F5C39BDE4}"/>
            </a:ext>
          </a:extLst>
        </xdr:cNvPr>
        <xdr:cNvSpPr/>
      </xdr:nvSpPr>
      <xdr:spPr>
        <a:xfrm>
          <a:off x="0" y="4182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0</xdr:col>
      <xdr:colOff>323850</xdr:colOff>
      <xdr:row>243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9A2CE617-8E55-425F-9179-B44803E7EB8C}"/>
            </a:ext>
          </a:extLst>
        </xdr:cNvPr>
        <xdr:cNvSpPr/>
      </xdr:nvSpPr>
      <xdr:spPr>
        <a:xfrm>
          <a:off x="0" y="4218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323850</xdr:colOff>
      <xdr:row>245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5A7613C6-3FE2-471C-8B1D-8C0546D40689}"/>
            </a:ext>
          </a:extLst>
        </xdr:cNvPr>
        <xdr:cNvSpPr/>
      </xdr:nvSpPr>
      <xdr:spPr>
        <a:xfrm>
          <a:off x="0" y="4255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323850</xdr:colOff>
      <xdr:row>247</xdr:row>
      <xdr:rowOff>114300</xdr:rowOff>
    </xdr:to>
    <xdr:sp macro="" textlink="">
      <xdr:nvSpPr>
        <xdr:cNvPr id="84" name="Frame 83">
          <a:extLst>
            <a:ext uri="{FF2B5EF4-FFF2-40B4-BE49-F238E27FC236}">
              <a16:creationId xmlns:a16="http://schemas.microsoft.com/office/drawing/2014/main" id="{CDA66CD8-D83D-4C51-8660-A37AA8E64EDB}"/>
            </a:ext>
          </a:extLst>
        </xdr:cNvPr>
        <xdr:cNvSpPr/>
      </xdr:nvSpPr>
      <xdr:spPr>
        <a:xfrm>
          <a:off x="0" y="4292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323850</xdr:colOff>
      <xdr:row>263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5840DC88-AF64-4533-9469-FCA66B1AB564}"/>
            </a:ext>
          </a:extLst>
        </xdr:cNvPr>
        <xdr:cNvSpPr/>
      </xdr:nvSpPr>
      <xdr:spPr>
        <a:xfrm>
          <a:off x="0" y="3813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0</xdr:col>
      <xdr:colOff>323850</xdr:colOff>
      <xdr:row>265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BA5CE8C4-CE25-467E-A9F1-940DE5E62E2D}"/>
            </a:ext>
          </a:extLst>
        </xdr:cNvPr>
        <xdr:cNvSpPr/>
      </xdr:nvSpPr>
      <xdr:spPr>
        <a:xfrm>
          <a:off x="0" y="3850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323850</xdr:colOff>
      <xdr:row>267</xdr:row>
      <xdr:rowOff>120650</xdr:rowOff>
    </xdr:to>
    <xdr:sp macro="" textlink="">
      <xdr:nvSpPr>
        <xdr:cNvPr id="87" name="Frame 86">
          <a:extLst>
            <a:ext uri="{FF2B5EF4-FFF2-40B4-BE49-F238E27FC236}">
              <a16:creationId xmlns:a16="http://schemas.microsoft.com/office/drawing/2014/main" id="{42EDB6CD-0DC6-4795-9604-D1E9B3FAFB87}"/>
            </a:ext>
          </a:extLst>
        </xdr:cNvPr>
        <xdr:cNvSpPr/>
      </xdr:nvSpPr>
      <xdr:spPr>
        <a:xfrm>
          <a:off x="0" y="3887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0</xdr:col>
      <xdr:colOff>323850</xdr:colOff>
      <xdr:row>291</xdr:row>
      <xdr:rowOff>120650</xdr:rowOff>
    </xdr:to>
    <xdr:sp macro="" textlink="">
      <xdr:nvSpPr>
        <xdr:cNvPr id="88" name="Frame 87">
          <a:extLst>
            <a:ext uri="{FF2B5EF4-FFF2-40B4-BE49-F238E27FC236}">
              <a16:creationId xmlns:a16="http://schemas.microsoft.com/office/drawing/2014/main" id="{9848AA6B-AA65-4A62-9D53-7A6E351C4D60}"/>
            </a:ext>
          </a:extLst>
        </xdr:cNvPr>
        <xdr:cNvSpPr/>
      </xdr:nvSpPr>
      <xdr:spPr>
        <a:xfrm>
          <a:off x="0" y="38074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323850</xdr:colOff>
      <xdr:row>293</xdr:row>
      <xdr:rowOff>120650</xdr:rowOff>
    </xdr:to>
    <xdr:sp macro="" textlink="">
      <xdr:nvSpPr>
        <xdr:cNvPr id="89" name="Frame 88">
          <a:extLst>
            <a:ext uri="{FF2B5EF4-FFF2-40B4-BE49-F238E27FC236}">
              <a16:creationId xmlns:a16="http://schemas.microsoft.com/office/drawing/2014/main" id="{79D7B7EB-5FF2-42F4-9453-A75AF5360F0F}"/>
            </a:ext>
          </a:extLst>
        </xdr:cNvPr>
        <xdr:cNvSpPr/>
      </xdr:nvSpPr>
      <xdr:spPr>
        <a:xfrm>
          <a:off x="0" y="38442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0</xdr:col>
      <xdr:colOff>323850</xdr:colOff>
      <xdr:row>295</xdr:row>
      <xdr:rowOff>120650</xdr:rowOff>
    </xdr:to>
    <xdr:sp macro="" textlink="">
      <xdr:nvSpPr>
        <xdr:cNvPr id="90" name="Frame 89">
          <a:extLst>
            <a:ext uri="{FF2B5EF4-FFF2-40B4-BE49-F238E27FC236}">
              <a16:creationId xmlns:a16="http://schemas.microsoft.com/office/drawing/2014/main" id="{2C16397D-4380-4EBC-AAA9-716670B398CE}"/>
            </a:ext>
          </a:extLst>
        </xdr:cNvPr>
        <xdr:cNvSpPr/>
      </xdr:nvSpPr>
      <xdr:spPr>
        <a:xfrm>
          <a:off x="0" y="38811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323850</xdr:colOff>
      <xdr:row>297</xdr:row>
      <xdr:rowOff>120650</xdr:rowOff>
    </xdr:to>
    <xdr:sp macro="" textlink="">
      <xdr:nvSpPr>
        <xdr:cNvPr id="91" name="Frame 90">
          <a:extLst>
            <a:ext uri="{FF2B5EF4-FFF2-40B4-BE49-F238E27FC236}">
              <a16:creationId xmlns:a16="http://schemas.microsoft.com/office/drawing/2014/main" id="{3ACF9B3A-478D-4730-B967-3A82A891DCEC}"/>
            </a:ext>
          </a:extLst>
        </xdr:cNvPr>
        <xdr:cNvSpPr/>
      </xdr:nvSpPr>
      <xdr:spPr>
        <a:xfrm>
          <a:off x="0" y="39179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0</xdr:col>
      <xdr:colOff>323850</xdr:colOff>
      <xdr:row>299</xdr:row>
      <xdr:rowOff>120650</xdr:rowOff>
    </xdr:to>
    <xdr:sp macro="" textlink="">
      <xdr:nvSpPr>
        <xdr:cNvPr id="92" name="Frame 91">
          <a:extLst>
            <a:ext uri="{FF2B5EF4-FFF2-40B4-BE49-F238E27FC236}">
              <a16:creationId xmlns:a16="http://schemas.microsoft.com/office/drawing/2014/main" id="{CDE1E111-E88A-45A4-88C6-E0FAC57C8613}"/>
            </a:ext>
          </a:extLst>
        </xdr:cNvPr>
        <xdr:cNvSpPr/>
      </xdr:nvSpPr>
      <xdr:spPr>
        <a:xfrm>
          <a:off x="0" y="39547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323850</xdr:colOff>
      <xdr:row>301</xdr:row>
      <xdr:rowOff>120650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DF1B6075-8C85-49A3-9BC3-CADB7049CD13}"/>
            </a:ext>
          </a:extLst>
        </xdr:cNvPr>
        <xdr:cNvSpPr/>
      </xdr:nvSpPr>
      <xdr:spPr>
        <a:xfrm>
          <a:off x="0" y="39916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0</xdr:col>
      <xdr:colOff>323850</xdr:colOff>
      <xdr:row>303</xdr:row>
      <xdr:rowOff>120650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5517429D-BF6A-45E9-A8D8-82739AA918A7}"/>
            </a:ext>
          </a:extLst>
        </xdr:cNvPr>
        <xdr:cNvSpPr/>
      </xdr:nvSpPr>
      <xdr:spPr>
        <a:xfrm>
          <a:off x="0" y="40284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304</xdr:row>
      <xdr:rowOff>0</xdr:rowOff>
    </xdr:from>
    <xdr:to>
      <xdr:col>0</xdr:col>
      <xdr:colOff>323850</xdr:colOff>
      <xdr:row>305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2D164BA8-E730-4FE2-B4D4-C0D4054D0F85}"/>
            </a:ext>
          </a:extLst>
        </xdr:cNvPr>
        <xdr:cNvSpPr/>
      </xdr:nvSpPr>
      <xdr:spPr>
        <a:xfrm>
          <a:off x="0" y="40652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0</xdr:col>
      <xdr:colOff>323850</xdr:colOff>
      <xdr:row>307</xdr:row>
      <xdr:rowOff>120650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9F876C6F-CC01-47E2-AF2D-14B7EB570D89}"/>
            </a:ext>
          </a:extLst>
        </xdr:cNvPr>
        <xdr:cNvSpPr/>
      </xdr:nvSpPr>
      <xdr:spPr>
        <a:xfrm>
          <a:off x="0" y="41021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308</xdr:row>
      <xdr:rowOff>0</xdr:rowOff>
    </xdr:from>
    <xdr:to>
      <xdr:col>0</xdr:col>
      <xdr:colOff>323850</xdr:colOff>
      <xdr:row>309</xdr:row>
      <xdr:rowOff>120650</xdr:rowOff>
    </xdr:to>
    <xdr:sp macro="" textlink="">
      <xdr:nvSpPr>
        <xdr:cNvPr id="97" name="Frame 96">
          <a:extLst>
            <a:ext uri="{FF2B5EF4-FFF2-40B4-BE49-F238E27FC236}">
              <a16:creationId xmlns:a16="http://schemas.microsoft.com/office/drawing/2014/main" id="{4011ED1D-D0B4-438D-A242-E0A7279AC43F}"/>
            </a:ext>
          </a:extLst>
        </xdr:cNvPr>
        <xdr:cNvSpPr/>
      </xdr:nvSpPr>
      <xdr:spPr>
        <a:xfrm>
          <a:off x="0" y="41389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323850</xdr:colOff>
      <xdr:row>311</xdr:row>
      <xdr:rowOff>120650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0342DD2F-DC9B-42E1-BBAC-89488215D4B1}"/>
            </a:ext>
          </a:extLst>
        </xdr:cNvPr>
        <xdr:cNvSpPr/>
      </xdr:nvSpPr>
      <xdr:spPr>
        <a:xfrm>
          <a:off x="0" y="41757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0</xdr:col>
      <xdr:colOff>323850</xdr:colOff>
      <xdr:row>313</xdr:row>
      <xdr:rowOff>120650</xdr:rowOff>
    </xdr:to>
    <xdr:sp macro="" textlink="">
      <xdr:nvSpPr>
        <xdr:cNvPr id="100" name="Frame 99">
          <a:extLst>
            <a:ext uri="{FF2B5EF4-FFF2-40B4-BE49-F238E27FC236}">
              <a16:creationId xmlns:a16="http://schemas.microsoft.com/office/drawing/2014/main" id="{CA40580B-20F6-4ED8-A452-F67ACF0B2F10}"/>
            </a:ext>
          </a:extLst>
        </xdr:cNvPr>
        <xdr:cNvSpPr/>
      </xdr:nvSpPr>
      <xdr:spPr>
        <a:xfrm>
          <a:off x="0" y="42125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314</xdr:row>
      <xdr:rowOff>0</xdr:rowOff>
    </xdr:from>
    <xdr:to>
      <xdr:col>0</xdr:col>
      <xdr:colOff>323850</xdr:colOff>
      <xdr:row>315</xdr:row>
      <xdr:rowOff>120650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44B7C9DE-A9B4-4C72-80BF-8E8DEF5E7CFA}"/>
            </a:ext>
          </a:extLst>
        </xdr:cNvPr>
        <xdr:cNvSpPr/>
      </xdr:nvSpPr>
      <xdr:spPr>
        <a:xfrm>
          <a:off x="0" y="4249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0</xdr:col>
      <xdr:colOff>323850</xdr:colOff>
      <xdr:row>317</xdr:row>
      <xdr:rowOff>120650</xdr:rowOff>
    </xdr:to>
    <xdr:sp macro="" textlink="">
      <xdr:nvSpPr>
        <xdr:cNvPr id="103" name="Frame 102">
          <a:extLst>
            <a:ext uri="{FF2B5EF4-FFF2-40B4-BE49-F238E27FC236}">
              <a16:creationId xmlns:a16="http://schemas.microsoft.com/office/drawing/2014/main" id="{CA601EB6-9915-4376-8896-C99908CDABB3}"/>
            </a:ext>
          </a:extLst>
        </xdr:cNvPr>
        <xdr:cNvSpPr/>
      </xdr:nvSpPr>
      <xdr:spPr>
        <a:xfrm>
          <a:off x="0" y="55543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318</xdr:row>
      <xdr:rowOff>0</xdr:rowOff>
    </xdr:from>
    <xdr:to>
      <xdr:col>0</xdr:col>
      <xdr:colOff>323850</xdr:colOff>
      <xdr:row>319</xdr:row>
      <xdr:rowOff>120650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0A4F3876-B662-43C7-804D-B98CA944F186}"/>
            </a:ext>
          </a:extLst>
        </xdr:cNvPr>
        <xdr:cNvSpPr/>
      </xdr:nvSpPr>
      <xdr:spPr>
        <a:xfrm>
          <a:off x="0" y="55911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334</xdr:row>
      <xdr:rowOff>0</xdr:rowOff>
    </xdr:from>
    <xdr:to>
      <xdr:col>0</xdr:col>
      <xdr:colOff>323850</xdr:colOff>
      <xdr:row>335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83470E13-64C7-4EA8-9C54-73818D44EF02}"/>
            </a:ext>
          </a:extLst>
        </xdr:cNvPr>
        <xdr:cNvSpPr/>
      </xdr:nvSpPr>
      <xdr:spPr>
        <a:xfrm>
          <a:off x="0" y="50755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336</xdr:row>
      <xdr:rowOff>0</xdr:rowOff>
    </xdr:from>
    <xdr:to>
      <xdr:col>0</xdr:col>
      <xdr:colOff>323850</xdr:colOff>
      <xdr:row>337</xdr:row>
      <xdr:rowOff>120650</xdr:rowOff>
    </xdr:to>
    <xdr:sp macro="" textlink="">
      <xdr:nvSpPr>
        <xdr:cNvPr id="106" name="Frame 105">
          <a:extLst>
            <a:ext uri="{FF2B5EF4-FFF2-40B4-BE49-F238E27FC236}">
              <a16:creationId xmlns:a16="http://schemas.microsoft.com/office/drawing/2014/main" id="{0B957415-E0DA-43FB-9C4B-BA1F9E75EF97}"/>
            </a:ext>
          </a:extLst>
        </xdr:cNvPr>
        <xdr:cNvSpPr/>
      </xdr:nvSpPr>
      <xdr:spPr>
        <a:xfrm>
          <a:off x="0" y="51123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338</xdr:row>
      <xdr:rowOff>0</xdr:rowOff>
    </xdr:from>
    <xdr:to>
      <xdr:col>0</xdr:col>
      <xdr:colOff>323850</xdr:colOff>
      <xdr:row>339</xdr:row>
      <xdr:rowOff>120650</xdr:rowOff>
    </xdr:to>
    <xdr:sp macro="" textlink="">
      <xdr:nvSpPr>
        <xdr:cNvPr id="107" name="Frame 106">
          <a:extLst>
            <a:ext uri="{FF2B5EF4-FFF2-40B4-BE49-F238E27FC236}">
              <a16:creationId xmlns:a16="http://schemas.microsoft.com/office/drawing/2014/main" id="{F6832375-F45A-4052-9DE9-E6ACEBE534A2}"/>
            </a:ext>
          </a:extLst>
        </xdr:cNvPr>
        <xdr:cNvSpPr/>
      </xdr:nvSpPr>
      <xdr:spPr>
        <a:xfrm>
          <a:off x="0" y="51492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0</xdr:col>
      <xdr:colOff>323850</xdr:colOff>
      <xdr:row>341</xdr:row>
      <xdr:rowOff>120650</xdr:rowOff>
    </xdr:to>
    <xdr:sp macro="" textlink="">
      <xdr:nvSpPr>
        <xdr:cNvPr id="108" name="Frame 107">
          <a:extLst>
            <a:ext uri="{FF2B5EF4-FFF2-40B4-BE49-F238E27FC236}">
              <a16:creationId xmlns:a16="http://schemas.microsoft.com/office/drawing/2014/main" id="{FC6C27D4-ABCB-44A3-95F2-E9F893F16C99}"/>
            </a:ext>
          </a:extLst>
        </xdr:cNvPr>
        <xdr:cNvSpPr/>
      </xdr:nvSpPr>
      <xdr:spPr>
        <a:xfrm>
          <a:off x="0" y="51860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342</xdr:row>
      <xdr:rowOff>0</xdr:rowOff>
    </xdr:from>
    <xdr:to>
      <xdr:col>0</xdr:col>
      <xdr:colOff>323850</xdr:colOff>
      <xdr:row>343</xdr:row>
      <xdr:rowOff>120650</xdr:rowOff>
    </xdr:to>
    <xdr:sp macro="" textlink="">
      <xdr:nvSpPr>
        <xdr:cNvPr id="109" name="Frame 108">
          <a:extLst>
            <a:ext uri="{FF2B5EF4-FFF2-40B4-BE49-F238E27FC236}">
              <a16:creationId xmlns:a16="http://schemas.microsoft.com/office/drawing/2014/main" id="{B8AC19EA-53CF-4B3E-B623-A8F028B43828}"/>
            </a:ext>
          </a:extLst>
        </xdr:cNvPr>
        <xdr:cNvSpPr/>
      </xdr:nvSpPr>
      <xdr:spPr>
        <a:xfrm>
          <a:off x="0" y="52228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323850</xdr:colOff>
      <xdr:row>345</xdr:row>
      <xdr:rowOff>120650</xdr:rowOff>
    </xdr:to>
    <xdr:sp macro="" textlink="">
      <xdr:nvSpPr>
        <xdr:cNvPr id="110" name="Frame 109">
          <a:extLst>
            <a:ext uri="{FF2B5EF4-FFF2-40B4-BE49-F238E27FC236}">
              <a16:creationId xmlns:a16="http://schemas.microsoft.com/office/drawing/2014/main" id="{80ADCE41-ADCE-4B2B-AD0B-E701EACF1AF0}"/>
            </a:ext>
          </a:extLst>
        </xdr:cNvPr>
        <xdr:cNvSpPr/>
      </xdr:nvSpPr>
      <xdr:spPr>
        <a:xfrm>
          <a:off x="0" y="52597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346</xdr:row>
      <xdr:rowOff>0</xdr:rowOff>
    </xdr:from>
    <xdr:to>
      <xdr:col>0</xdr:col>
      <xdr:colOff>323850</xdr:colOff>
      <xdr:row>347</xdr:row>
      <xdr:rowOff>120650</xdr:rowOff>
    </xdr:to>
    <xdr:sp macro="" textlink="">
      <xdr:nvSpPr>
        <xdr:cNvPr id="111" name="Frame 110">
          <a:extLst>
            <a:ext uri="{FF2B5EF4-FFF2-40B4-BE49-F238E27FC236}">
              <a16:creationId xmlns:a16="http://schemas.microsoft.com/office/drawing/2014/main" id="{4C86B992-D880-4BA1-B9B2-5249C42C65F3}"/>
            </a:ext>
          </a:extLst>
        </xdr:cNvPr>
        <xdr:cNvSpPr/>
      </xdr:nvSpPr>
      <xdr:spPr>
        <a:xfrm>
          <a:off x="0" y="5296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348</xdr:row>
      <xdr:rowOff>0</xdr:rowOff>
    </xdr:from>
    <xdr:to>
      <xdr:col>0</xdr:col>
      <xdr:colOff>323850</xdr:colOff>
      <xdr:row>349</xdr:row>
      <xdr:rowOff>120650</xdr:rowOff>
    </xdr:to>
    <xdr:sp macro="" textlink="">
      <xdr:nvSpPr>
        <xdr:cNvPr id="112" name="Frame 111">
          <a:extLst>
            <a:ext uri="{FF2B5EF4-FFF2-40B4-BE49-F238E27FC236}">
              <a16:creationId xmlns:a16="http://schemas.microsoft.com/office/drawing/2014/main" id="{6900715A-F3C7-4469-9323-B10475C15486}"/>
            </a:ext>
          </a:extLst>
        </xdr:cNvPr>
        <xdr:cNvSpPr/>
      </xdr:nvSpPr>
      <xdr:spPr>
        <a:xfrm>
          <a:off x="0" y="5333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0</xdr:col>
      <xdr:colOff>323850</xdr:colOff>
      <xdr:row>351</xdr:row>
      <xdr:rowOff>120650</xdr:rowOff>
    </xdr:to>
    <xdr:sp macro="" textlink="">
      <xdr:nvSpPr>
        <xdr:cNvPr id="113" name="Frame 112">
          <a:extLst>
            <a:ext uri="{FF2B5EF4-FFF2-40B4-BE49-F238E27FC236}">
              <a16:creationId xmlns:a16="http://schemas.microsoft.com/office/drawing/2014/main" id="{020ED17D-6DEB-4AF3-9AC8-8B447E3B3FD4}"/>
            </a:ext>
          </a:extLst>
        </xdr:cNvPr>
        <xdr:cNvSpPr/>
      </xdr:nvSpPr>
      <xdr:spPr>
        <a:xfrm>
          <a:off x="0" y="5370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0</xdr:col>
      <xdr:colOff>323850</xdr:colOff>
      <xdr:row>353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FAB33834-7BF2-4D3B-BDA1-71BC446FBB73}"/>
            </a:ext>
          </a:extLst>
        </xdr:cNvPr>
        <xdr:cNvSpPr/>
      </xdr:nvSpPr>
      <xdr:spPr>
        <a:xfrm>
          <a:off x="0" y="5407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354</xdr:row>
      <xdr:rowOff>0</xdr:rowOff>
    </xdr:from>
    <xdr:to>
      <xdr:col>0</xdr:col>
      <xdr:colOff>323850</xdr:colOff>
      <xdr:row>355</xdr:row>
      <xdr:rowOff>120650</xdr:rowOff>
    </xdr:to>
    <xdr:sp macro="" textlink="">
      <xdr:nvSpPr>
        <xdr:cNvPr id="115" name="Frame 114">
          <a:extLst>
            <a:ext uri="{FF2B5EF4-FFF2-40B4-BE49-F238E27FC236}">
              <a16:creationId xmlns:a16="http://schemas.microsoft.com/office/drawing/2014/main" id="{7DA519EA-C08D-4B37-9610-723E8C86EE51}"/>
            </a:ext>
          </a:extLst>
        </xdr:cNvPr>
        <xdr:cNvSpPr/>
      </xdr:nvSpPr>
      <xdr:spPr>
        <a:xfrm>
          <a:off x="0" y="5443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356</xdr:row>
      <xdr:rowOff>0</xdr:rowOff>
    </xdr:from>
    <xdr:to>
      <xdr:col>0</xdr:col>
      <xdr:colOff>323850</xdr:colOff>
      <xdr:row>357</xdr:row>
      <xdr:rowOff>120650</xdr:rowOff>
    </xdr:to>
    <xdr:sp macro="" textlink="">
      <xdr:nvSpPr>
        <xdr:cNvPr id="116" name="Frame 115">
          <a:extLst>
            <a:ext uri="{FF2B5EF4-FFF2-40B4-BE49-F238E27FC236}">
              <a16:creationId xmlns:a16="http://schemas.microsoft.com/office/drawing/2014/main" id="{3AEB75B2-CBF5-45C7-8AD1-2F84C4E91EAF}"/>
            </a:ext>
          </a:extLst>
        </xdr:cNvPr>
        <xdr:cNvSpPr/>
      </xdr:nvSpPr>
      <xdr:spPr>
        <a:xfrm>
          <a:off x="0" y="5480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371</xdr:row>
      <xdr:rowOff>0</xdr:rowOff>
    </xdr:from>
    <xdr:to>
      <xdr:col>0</xdr:col>
      <xdr:colOff>323850</xdr:colOff>
      <xdr:row>372</xdr:row>
      <xdr:rowOff>120650</xdr:rowOff>
    </xdr:to>
    <xdr:sp macro="" textlink="">
      <xdr:nvSpPr>
        <xdr:cNvPr id="120" name="Frame 119">
          <a:extLst>
            <a:ext uri="{FF2B5EF4-FFF2-40B4-BE49-F238E27FC236}">
              <a16:creationId xmlns:a16="http://schemas.microsoft.com/office/drawing/2014/main" id="{D15308C5-884D-40E1-AA7C-31B453CB9AE3}"/>
            </a:ext>
          </a:extLst>
        </xdr:cNvPr>
        <xdr:cNvSpPr/>
      </xdr:nvSpPr>
      <xdr:spPr>
        <a:xfrm>
          <a:off x="0" y="59036505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0</xdr:col>
      <xdr:colOff>323850</xdr:colOff>
      <xdr:row>374</xdr:row>
      <xdr:rowOff>120650</xdr:rowOff>
    </xdr:to>
    <xdr:sp macro="" textlink="">
      <xdr:nvSpPr>
        <xdr:cNvPr id="121" name="Frame 120">
          <a:extLst>
            <a:ext uri="{FF2B5EF4-FFF2-40B4-BE49-F238E27FC236}">
              <a16:creationId xmlns:a16="http://schemas.microsoft.com/office/drawing/2014/main" id="{C1DBEAD4-BEC2-487F-A7CA-116423460356}"/>
            </a:ext>
          </a:extLst>
        </xdr:cNvPr>
        <xdr:cNvSpPr/>
      </xdr:nvSpPr>
      <xdr:spPr>
        <a:xfrm>
          <a:off x="0" y="59406408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0</xdr:col>
      <xdr:colOff>323850</xdr:colOff>
      <xdr:row>376</xdr:row>
      <xdr:rowOff>120650</xdr:rowOff>
    </xdr:to>
    <xdr:sp macro="" textlink="">
      <xdr:nvSpPr>
        <xdr:cNvPr id="122" name="Frame 121">
          <a:extLst>
            <a:ext uri="{FF2B5EF4-FFF2-40B4-BE49-F238E27FC236}">
              <a16:creationId xmlns:a16="http://schemas.microsoft.com/office/drawing/2014/main" id="{763ED979-C145-4705-A6C9-845B8AC64F08}"/>
            </a:ext>
          </a:extLst>
        </xdr:cNvPr>
        <xdr:cNvSpPr/>
      </xdr:nvSpPr>
      <xdr:spPr>
        <a:xfrm>
          <a:off x="0" y="59776311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323850</xdr:colOff>
      <xdr:row>378</xdr:row>
      <xdr:rowOff>120650</xdr:rowOff>
    </xdr:to>
    <xdr:sp macro="" textlink="">
      <xdr:nvSpPr>
        <xdr:cNvPr id="123" name="Frame 122">
          <a:extLst>
            <a:ext uri="{FF2B5EF4-FFF2-40B4-BE49-F238E27FC236}">
              <a16:creationId xmlns:a16="http://schemas.microsoft.com/office/drawing/2014/main" id="{602E08FE-5375-4CA6-BCBB-5D551065AC3C}"/>
            </a:ext>
          </a:extLst>
        </xdr:cNvPr>
        <xdr:cNvSpPr/>
      </xdr:nvSpPr>
      <xdr:spPr>
        <a:xfrm>
          <a:off x="0" y="60146214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379</xdr:row>
      <xdr:rowOff>0</xdr:rowOff>
    </xdr:from>
    <xdr:to>
      <xdr:col>0</xdr:col>
      <xdr:colOff>323850</xdr:colOff>
      <xdr:row>380</xdr:row>
      <xdr:rowOff>120650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78A70DBD-99D2-453E-821A-2BAEB761FEC0}"/>
            </a:ext>
          </a:extLst>
        </xdr:cNvPr>
        <xdr:cNvSpPr/>
      </xdr:nvSpPr>
      <xdr:spPr>
        <a:xfrm>
          <a:off x="0" y="60516117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381</xdr:row>
      <xdr:rowOff>0</xdr:rowOff>
    </xdr:from>
    <xdr:to>
      <xdr:col>0</xdr:col>
      <xdr:colOff>323850</xdr:colOff>
      <xdr:row>382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A093C275-D8FF-4938-9D5D-2A19072E29A2}"/>
            </a:ext>
          </a:extLst>
        </xdr:cNvPr>
        <xdr:cNvSpPr/>
      </xdr:nvSpPr>
      <xdr:spPr>
        <a:xfrm>
          <a:off x="0" y="60886019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0</xdr:col>
      <xdr:colOff>323850</xdr:colOff>
      <xdr:row>384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57BDAA8E-2007-4552-9631-78C70FF51968}"/>
            </a:ext>
          </a:extLst>
        </xdr:cNvPr>
        <xdr:cNvSpPr/>
      </xdr:nvSpPr>
      <xdr:spPr>
        <a:xfrm>
          <a:off x="0" y="61255922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0</xdr:col>
      <xdr:colOff>323850</xdr:colOff>
      <xdr:row>386</xdr:row>
      <xdr:rowOff>120650</xdr:rowOff>
    </xdr:to>
    <xdr:sp macro="" textlink="">
      <xdr:nvSpPr>
        <xdr:cNvPr id="127" name="Frame 126">
          <a:extLst>
            <a:ext uri="{FF2B5EF4-FFF2-40B4-BE49-F238E27FC236}">
              <a16:creationId xmlns:a16="http://schemas.microsoft.com/office/drawing/2014/main" id="{F6DEC876-9439-4CC5-85F3-6E574E54269E}"/>
            </a:ext>
          </a:extLst>
        </xdr:cNvPr>
        <xdr:cNvSpPr/>
      </xdr:nvSpPr>
      <xdr:spPr>
        <a:xfrm>
          <a:off x="0" y="61625825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401</xdr:row>
      <xdr:rowOff>0</xdr:rowOff>
    </xdr:from>
    <xdr:to>
      <xdr:col>0</xdr:col>
      <xdr:colOff>323850</xdr:colOff>
      <xdr:row>402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FFC92E89-AE88-45C3-AF4B-E755B18FD2D2}"/>
            </a:ext>
          </a:extLst>
        </xdr:cNvPr>
        <xdr:cNvSpPr/>
      </xdr:nvSpPr>
      <xdr:spPr>
        <a:xfrm>
          <a:off x="0" y="66040000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0</xdr:col>
      <xdr:colOff>323850</xdr:colOff>
      <xdr:row>404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B0A58C49-E48A-4953-8819-38CBADCB490B}"/>
            </a:ext>
          </a:extLst>
        </xdr:cNvPr>
        <xdr:cNvSpPr/>
      </xdr:nvSpPr>
      <xdr:spPr>
        <a:xfrm>
          <a:off x="0" y="66409903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323850</xdr:colOff>
      <xdr:row>406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51912F5C-6787-4B4B-B254-82639369A777}"/>
            </a:ext>
          </a:extLst>
        </xdr:cNvPr>
        <xdr:cNvSpPr/>
      </xdr:nvSpPr>
      <xdr:spPr>
        <a:xfrm>
          <a:off x="0" y="66779806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323850</xdr:colOff>
      <xdr:row>408</xdr:row>
      <xdr:rowOff>120650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3649D609-FC0F-456A-950B-6A0EB294E9CD}"/>
            </a:ext>
          </a:extLst>
        </xdr:cNvPr>
        <xdr:cNvSpPr/>
      </xdr:nvSpPr>
      <xdr:spPr>
        <a:xfrm>
          <a:off x="0" y="6714970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0</xdr:col>
      <xdr:colOff>323850</xdr:colOff>
      <xdr:row>423</xdr:row>
      <xdr:rowOff>120650</xdr:rowOff>
    </xdr:to>
    <xdr:sp macro="" textlink="">
      <xdr:nvSpPr>
        <xdr:cNvPr id="140" name="Frame 139">
          <a:extLst>
            <a:ext uri="{FF2B5EF4-FFF2-40B4-BE49-F238E27FC236}">
              <a16:creationId xmlns:a16="http://schemas.microsoft.com/office/drawing/2014/main" id="{DEE8B990-6F70-478E-A325-09A9A0AAF4FF}"/>
            </a:ext>
          </a:extLst>
        </xdr:cNvPr>
        <xdr:cNvSpPr/>
      </xdr:nvSpPr>
      <xdr:spPr>
        <a:xfrm>
          <a:off x="0" y="7157004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424</xdr:row>
      <xdr:rowOff>0</xdr:rowOff>
    </xdr:from>
    <xdr:to>
      <xdr:col>0</xdr:col>
      <xdr:colOff>323850</xdr:colOff>
      <xdr:row>425</xdr:row>
      <xdr:rowOff>120650</xdr:rowOff>
    </xdr:to>
    <xdr:sp macro="" textlink="">
      <xdr:nvSpPr>
        <xdr:cNvPr id="141" name="Frame 140">
          <a:extLst>
            <a:ext uri="{FF2B5EF4-FFF2-40B4-BE49-F238E27FC236}">
              <a16:creationId xmlns:a16="http://schemas.microsoft.com/office/drawing/2014/main" id="{851C20B2-D9E2-4026-AD71-B1BB41FE7AA9}"/>
            </a:ext>
          </a:extLst>
        </xdr:cNvPr>
        <xdr:cNvSpPr/>
      </xdr:nvSpPr>
      <xdr:spPr>
        <a:xfrm>
          <a:off x="0" y="71939951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426</xdr:row>
      <xdr:rowOff>0</xdr:rowOff>
    </xdr:from>
    <xdr:to>
      <xdr:col>0</xdr:col>
      <xdr:colOff>323850</xdr:colOff>
      <xdr:row>427</xdr:row>
      <xdr:rowOff>120650</xdr:rowOff>
    </xdr:to>
    <xdr:sp macro="" textlink="">
      <xdr:nvSpPr>
        <xdr:cNvPr id="142" name="Frame 141">
          <a:extLst>
            <a:ext uri="{FF2B5EF4-FFF2-40B4-BE49-F238E27FC236}">
              <a16:creationId xmlns:a16="http://schemas.microsoft.com/office/drawing/2014/main" id="{02E386F8-1500-4F19-B63A-6F812F7798C4}"/>
            </a:ext>
          </a:extLst>
        </xdr:cNvPr>
        <xdr:cNvSpPr/>
      </xdr:nvSpPr>
      <xdr:spPr>
        <a:xfrm>
          <a:off x="0" y="72309854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323850</xdr:colOff>
      <xdr:row>429</xdr:row>
      <xdr:rowOff>120650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BDA015CB-F6F3-44B2-8EB0-E75EEFDCCEB3}"/>
            </a:ext>
          </a:extLst>
        </xdr:cNvPr>
        <xdr:cNvSpPr/>
      </xdr:nvSpPr>
      <xdr:spPr>
        <a:xfrm>
          <a:off x="0" y="76730194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323850</xdr:colOff>
      <xdr:row>431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956F2D41-C0D3-45BF-9A5E-2D26E1B71B27}"/>
            </a:ext>
          </a:extLst>
        </xdr:cNvPr>
        <xdr:cNvSpPr/>
      </xdr:nvSpPr>
      <xdr:spPr>
        <a:xfrm>
          <a:off x="0" y="77100097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445</xdr:row>
      <xdr:rowOff>0</xdr:rowOff>
    </xdr:from>
    <xdr:to>
      <xdr:col>0</xdr:col>
      <xdr:colOff>323850</xdr:colOff>
      <xdr:row>446</xdr:row>
      <xdr:rowOff>120650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A2C1E7D2-8449-4C6C-84F9-71F74FC8D5B7}"/>
            </a:ext>
          </a:extLst>
        </xdr:cNvPr>
        <xdr:cNvSpPr/>
      </xdr:nvSpPr>
      <xdr:spPr>
        <a:xfrm>
          <a:off x="0" y="75620485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323850</xdr:colOff>
      <xdr:row>448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817677FB-F639-463E-B750-D9FF8F13B7B1}"/>
            </a:ext>
          </a:extLst>
        </xdr:cNvPr>
        <xdr:cNvSpPr/>
      </xdr:nvSpPr>
      <xdr:spPr>
        <a:xfrm>
          <a:off x="0" y="75990388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449</xdr:row>
      <xdr:rowOff>0</xdr:rowOff>
    </xdr:from>
    <xdr:to>
      <xdr:col>0</xdr:col>
      <xdr:colOff>323850</xdr:colOff>
      <xdr:row>450</xdr:row>
      <xdr:rowOff>120650</xdr:rowOff>
    </xdr:to>
    <xdr:sp macro="" textlink="">
      <xdr:nvSpPr>
        <xdr:cNvPr id="148" name="Frame 147">
          <a:extLst>
            <a:ext uri="{FF2B5EF4-FFF2-40B4-BE49-F238E27FC236}">
              <a16:creationId xmlns:a16="http://schemas.microsoft.com/office/drawing/2014/main" id="{9C00C00F-B440-4531-9132-2394C6825AE9}"/>
            </a:ext>
          </a:extLst>
        </xdr:cNvPr>
        <xdr:cNvSpPr/>
      </xdr:nvSpPr>
      <xdr:spPr>
        <a:xfrm>
          <a:off x="0" y="76360291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451</xdr:row>
      <xdr:rowOff>0</xdr:rowOff>
    </xdr:from>
    <xdr:to>
      <xdr:col>0</xdr:col>
      <xdr:colOff>323850</xdr:colOff>
      <xdr:row>452</xdr:row>
      <xdr:rowOff>120650</xdr:rowOff>
    </xdr:to>
    <xdr:sp macro="" textlink="">
      <xdr:nvSpPr>
        <xdr:cNvPr id="149" name="Frame 148">
          <a:extLst>
            <a:ext uri="{FF2B5EF4-FFF2-40B4-BE49-F238E27FC236}">
              <a16:creationId xmlns:a16="http://schemas.microsoft.com/office/drawing/2014/main" id="{977A72F5-4AE1-44A7-9E0F-703D6AE8E0EA}"/>
            </a:ext>
          </a:extLst>
        </xdr:cNvPr>
        <xdr:cNvSpPr/>
      </xdr:nvSpPr>
      <xdr:spPr>
        <a:xfrm>
          <a:off x="0" y="76730194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453</xdr:row>
      <xdr:rowOff>0</xdr:rowOff>
    </xdr:from>
    <xdr:to>
      <xdr:col>0</xdr:col>
      <xdr:colOff>323850</xdr:colOff>
      <xdr:row>454</xdr:row>
      <xdr:rowOff>120650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7700D209-FB08-405F-B279-BF985049944D}"/>
            </a:ext>
          </a:extLst>
        </xdr:cNvPr>
        <xdr:cNvSpPr/>
      </xdr:nvSpPr>
      <xdr:spPr>
        <a:xfrm>
          <a:off x="0" y="81520437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0</xdr:col>
      <xdr:colOff>323850</xdr:colOff>
      <xdr:row>473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E1ABA8AD-A71D-45FE-9A20-99DDBEBECAA6}"/>
            </a:ext>
          </a:extLst>
        </xdr:cNvPr>
        <xdr:cNvSpPr/>
      </xdr:nvSpPr>
      <xdr:spPr>
        <a:xfrm>
          <a:off x="0" y="66040000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323850</xdr:colOff>
      <xdr:row>475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F05D2FA1-791B-4194-911C-1DA40A8360E9}"/>
            </a:ext>
          </a:extLst>
        </xdr:cNvPr>
        <xdr:cNvSpPr/>
      </xdr:nvSpPr>
      <xdr:spPr>
        <a:xfrm>
          <a:off x="0" y="66409903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476</xdr:row>
      <xdr:rowOff>0</xdr:rowOff>
    </xdr:from>
    <xdr:to>
      <xdr:col>0</xdr:col>
      <xdr:colOff>323850</xdr:colOff>
      <xdr:row>477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7EEB7946-ED08-43C4-BAA7-13AB9CD18712}"/>
            </a:ext>
          </a:extLst>
        </xdr:cNvPr>
        <xdr:cNvSpPr/>
      </xdr:nvSpPr>
      <xdr:spPr>
        <a:xfrm>
          <a:off x="0" y="66779806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0</xdr:col>
      <xdr:colOff>323850</xdr:colOff>
      <xdr:row>479</xdr:row>
      <xdr:rowOff>120650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E8EB02FA-08E8-4156-B53E-05784F321F3B}"/>
            </a:ext>
          </a:extLst>
        </xdr:cNvPr>
        <xdr:cNvSpPr/>
      </xdr:nvSpPr>
      <xdr:spPr>
        <a:xfrm>
          <a:off x="0" y="6714970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480</xdr:row>
      <xdr:rowOff>0</xdr:rowOff>
    </xdr:from>
    <xdr:to>
      <xdr:col>0</xdr:col>
      <xdr:colOff>323850</xdr:colOff>
      <xdr:row>481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D8CCAE48-70BE-453E-8EC0-EB6460A6D03E}"/>
            </a:ext>
          </a:extLst>
        </xdr:cNvPr>
        <xdr:cNvSpPr/>
      </xdr:nvSpPr>
      <xdr:spPr>
        <a:xfrm>
          <a:off x="0" y="67519612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482</xdr:row>
      <xdr:rowOff>0</xdr:rowOff>
    </xdr:from>
    <xdr:to>
      <xdr:col>0</xdr:col>
      <xdr:colOff>323850</xdr:colOff>
      <xdr:row>483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E9D88B3C-A090-4A53-9497-41F3C28F5DCE}"/>
            </a:ext>
          </a:extLst>
        </xdr:cNvPr>
        <xdr:cNvSpPr/>
      </xdr:nvSpPr>
      <xdr:spPr>
        <a:xfrm>
          <a:off x="0" y="67889515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484</xdr:row>
      <xdr:rowOff>0</xdr:rowOff>
    </xdr:from>
    <xdr:to>
      <xdr:col>0</xdr:col>
      <xdr:colOff>323850</xdr:colOff>
      <xdr:row>485</xdr:row>
      <xdr:rowOff>120650</xdr:rowOff>
    </xdr:to>
    <xdr:sp macro="" textlink="">
      <xdr:nvSpPr>
        <xdr:cNvPr id="158" name="Frame 157">
          <a:extLst>
            <a:ext uri="{FF2B5EF4-FFF2-40B4-BE49-F238E27FC236}">
              <a16:creationId xmlns:a16="http://schemas.microsoft.com/office/drawing/2014/main" id="{8B54D712-C06F-4472-B395-30B85E54919E}"/>
            </a:ext>
          </a:extLst>
        </xdr:cNvPr>
        <xdr:cNvSpPr/>
      </xdr:nvSpPr>
      <xdr:spPr>
        <a:xfrm>
          <a:off x="0" y="68259417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486</xdr:row>
      <xdr:rowOff>0</xdr:rowOff>
    </xdr:from>
    <xdr:to>
      <xdr:col>0</xdr:col>
      <xdr:colOff>323850</xdr:colOff>
      <xdr:row>487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ACD7F7A4-B362-4FBD-987F-21CE9242D95C}"/>
            </a:ext>
          </a:extLst>
        </xdr:cNvPr>
        <xdr:cNvSpPr/>
      </xdr:nvSpPr>
      <xdr:spPr>
        <a:xfrm>
          <a:off x="0" y="87784126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488</xdr:row>
      <xdr:rowOff>0</xdr:rowOff>
    </xdr:from>
    <xdr:to>
      <xdr:col>0</xdr:col>
      <xdr:colOff>323850</xdr:colOff>
      <xdr:row>489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E213D266-81CC-4B6A-8EC2-60EF7157226C}"/>
            </a:ext>
          </a:extLst>
        </xdr:cNvPr>
        <xdr:cNvSpPr/>
      </xdr:nvSpPr>
      <xdr:spPr>
        <a:xfrm>
          <a:off x="0" y="88154029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323850</xdr:colOff>
      <xdr:row>504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8C333226-D2A4-40E8-AE04-A36C796CDB73}"/>
            </a:ext>
          </a:extLst>
        </xdr:cNvPr>
        <xdr:cNvSpPr/>
      </xdr:nvSpPr>
      <xdr:spPr>
        <a:xfrm>
          <a:off x="0" y="85194806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505</xdr:row>
      <xdr:rowOff>0</xdr:rowOff>
    </xdr:from>
    <xdr:to>
      <xdr:col>0</xdr:col>
      <xdr:colOff>323850</xdr:colOff>
      <xdr:row>506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C3052707-547B-4A51-AABB-DE277A1D4691}"/>
            </a:ext>
          </a:extLst>
        </xdr:cNvPr>
        <xdr:cNvSpPr/>
      </xdr:nvSpPr>
      <xdr:spPr>
        <a:xfrm>
          <a:off x="0" y="8556470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507</xdr:row>
      <xdr:rowOff>0</xdr:rowOff>
    </xdr:from>
    <xdr:to>
      <xdr:col>0</xdr:col>
      <xdr:colOff>323850</xdr:colOff>
      <xdr:row>508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766F7D5B-826B-4886-B815-093C182CF4EC}"/>
            </a:ext>
          </a:extLst>
        </xdr:cNvPr>
        <xdr:cNvSpPr/>
      </xdr:nvSpPr>
      <xdr:spPr>
        <a:xfrm>
          <a:off x="0" y="85934612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0</xdr:col>
      <xdr:colOff>323850</xdr:colOff>
      <xdr:row>510</xdr:row>
      <xdr:rowOff>120650</xdr:rowOff>
    </xdr:to>
    <xdr:sp macro="" textlink="">
      <xdr:nvSpPr>
        <xdr:cNvPr id="165" name="Frame 164">
          <a:extLst>
            <a:ext uri="{FF2B5EF4-FFF2-40B4-BE49-F238E27FC236}">
              <a16:creationId xmlns:a16="http://schemas.microsoft.com/office/drawing/2014/main" id="{B9AD0F69-26A9-4D56-9086-FAEA56EDEB9D}"/>
            </a:ext>
          </a:extLst>
        </xdr:cNvPr>
        <xdr:cNvSpPr/>
      </xdr:nvSpPr>
      <xdr:spPr>
        <a:xfrm>
          <a:off x="0" y="86304515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0</xdr:col>
      <xdr:colOff>323850</xdr:colOff>
      <xdr:row>512</xdr:row>
      <xdr:rowOff>120650</xdr:rowOff>
    </xdr:to>
    <xdr:sp macro="" textlink="">
      <xdr:nvSpPr>
        <xdr:cNvPr id="166" name="Frame 165">
          <a:extLst>
            <a:ext uri="{FF2B5EF4-FFF2-40B4-BE49-F238E27FC236}">
              <a16:creationId xmlns:a16="http://schemas.microsoft.com/office/drawing/2014/main" id="{DF2922D1-DE56-4389-9BDF-5C2D42C9C141}"/>
            </a:ext>
          </a:extLst>
        </xdr:cNvPr>
        <xdr:cNvSpPr/>
      </xdr:nvSpPr>
      <xdr:spPr>
        <a:xfrm>
          <a:off x="0" y="86674417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513</xdr:row>
      <xdr:rowOff>0</xdr:rowOff>
    </xdr:from>
    <xdr:to>
      <xdr:col>0</xdr:col>
      <xdr:colOff>323850</xdr:colOff>
      <xdr:row>514</xdr:row>
      <xdr:rowOff>120650</xdr:rowOff>
    </xdr:to>
    <xdr:sp macro="" textlink="">
      <xdr:nvSpPr>
        <xdr:cNvPr id="167" name="Frame 166">
          <a:extLst>
            <a:ext uri="{FF2B5EF4-FFF2-40B4-BE49-F238E27FC236}">
              <a16:creationId xmlns:a16="http://schemas.microsoft.com/office/drawing/2014/main" id="{0E6C44A3-6A55-4F04-A4A4-FA655CB18A58}"/>
            </a:ext>
          </a:extLst>
        </xdr:cNvPr>
        <xdr:cNvSpPr/>
      </xdr:nvSpPr>
      <xdr:spPr>
        <a:xfrm>
          <a:off x="0" y="87044320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528</xdr:row>
      <xdr:rowOff>0</xdr:rowOff>
    </xdr:from>
    <xdr:to>
      <xdr:col>0</xdr:col>
      <xdr:colOff>323850</xdr:colOff>
      <xdr:row>529</xdr:row>
      <xdr:rowOff>120650</xdr:rowOff>
    </xdr:to>
    <xdr:sp macro="" textlink="">
      <xdr:nvSpPr>
        <xdr:cNvPr id="171" name="Frame 170">
          <a:extLst>
            <a:ext uri="{FF2B5EF4-FFF2-40B4-BE49-F238E27FC236}">
              <a16:creationId xmlns:a16="http://schemas.microsoft.com/office/drawing/2014/main" id="{F8A24B42-CE3E-4A7C-870D-49355A884227}"/>
            </a:ext>
          </a:extLst>
        </xdr:cNvPr>
        <xdr:cNvSpPr/>
      </xdr:nvSpPr>
      <xdr:spPr>
        <a:xfrm>
          <a:off x="0" y="91088592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530</xdr:row>
      <xdr:rowOff>0</xdr:rowOff>
    </xdr:from>
    <xdr:to>
      <xdr:col>0</xdr:col>
      <xdr:colOff>323850</xdr:colOff>
      <xdr:row>531</xdr:row>
      <xdr:rowOff>120650</xdr:rowOff>
    </xdr:to>
    <xdr:sp macro="" textlink="">
      <xdr:nvSpPr>
        <xdr:cNvPr id="172" name="Frame 171">
          <a:extLst>
            <a:ext uri="{FF2B5EF4-FFF2-40B4-BE49-F238E27FC236}">
              <a16:creationId xmlns:a16="http://schemas.microsoft.com/office/drawing/2014/main" id="{566C7617-2780-4D12-85A2-ABD3634E05EB}"/>
            </a:ext>
          </a:extLst>
        </xdr:cNvPr>
        <xdr:cNvSpPr/>
      </xdr:nvSpPr>
      <xdr:spPr>
        <a:xfrm>
          <a:off x="0" y="91458495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532</xdr:row>
      <xdr:rowOff>0</xdr:rowOff>
    </xdr:from>
    <xdr:to>
      <xdr:col>0</xdr:col>
      <xdr:colOff>323850</xdr:colOff>
      <xdr:row>533</xdr:row>
      <xdr:rowOff>120650</xdr:rowOff>
    </xdr:to>
    <xdr:sp macro="" textlink="">
      <xdr:nvSpPr>
        <xdr:cNvPr id="173" name="Frame 172">
          <a:extLst>
            <a:ext uri="{FF2B5EF4-FFF2-40B4-BE49-F238E27FC236}">
              <a16:creationId xmlns:a16="http://schemas.microsoft.com/office/drawing/2014/main" id="{F12B36F4-E2FB-4512-AEDD-2589123D153E}"/>
            </a:ext>
          </a:extLst>
        </xdr:cNvPr>
        <xdr:cNvSpPr/>
      </xdr:nvSpPr>
      <xdr:spPr>
        <a:xfrm>
          <a:off x="0" y="91828398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534</xdr:row>
      <xdr:rowOff>0</xdr:rowOff>
    </xdr:from>
    <xdr:to>
      <xdr:col>0</xdr:col>
      <xdr:colOff>323850</xdr:colOff>
      <xdr:row>535</xdr:row>
      <xdr:rowOff>120650</xdr:rowOff>
    </xdr:to>
    <xdr:sp macro="" textlink="">
      <xdr:nvSpPr>
        <xdr:cNvPr id="174" name="Frame 173">
          <a:extLst>
            <a:ext uri="{FF2B5EF4-FFF2-40B4-BE49-F238E27FC236}">
              <a16:creationId xmlns:a16="http://schemas.microsoft.com/office/drawing/2014/main" id="{AC2F9FF9-B777-4637-9A9D-3F250DF393E2}"/>
            </a:ext>
          </a:extLst>
        </xdr:cNvPr>
        <xdr:cNvSpPr/>
      </xdr:nvSpPr>
      <xdr:spPr>
        <a:xfrm>
          <a:off x="0" y="92198301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536</xdr:row>
      <xdr:rowOff>0</xdr:rowOff>
    </xdr:from>
    <xdr:to>
      <xdr:col>0</xdr:col>
      <xdr:colOff>323850</xdr:colOff>
      <xdr:row>537</xdr:row>
      <xdr:rowOff>120650</xdr:rowOff>
    </xdr:to>
    <xdr:sp macro="" textlink="">
      <xdr:nvSpPr>
        <xdr:cNvPr id="175" name="Frame 174">
          <a:extLst>
            <a:ext uri="{FF2B5EF4-FFF2-40B4-BE49-F238E27FC236}">
              <a16:creationId xmlns:a16="http://schemas.microsoft.com/office/drawing/2014/main" id="{D1DA17B9-BA40-44B9-9FD2-6720B071CD69}"/>
            </a:ext>
          </a:extLst>
        </xdr:cNvPr>
        <xdr:cNvSpPr/>
      </xdr:nvSpPr>
      <xdr:spPr>
        <a:xfrm>
          <a:off x="0" y="92568204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538</xdr:row>
      <xdr:rowOff>0</xdr:rowOff>
    </xdr:from>
    <xdr:to>
      <xdr:col>0</xdr:col>
      <xdr:colOff>323850</xdr:colOff>
      <xdr:row>539</xdr:row>
      <xdr:rowOff>120649</xdr:rowOff>
    </xdr:to>
    <xdr:sp macro="" textlink="">
      <xdr:nvSpPr>
        <xdr:cNvPr id="177" name="Frame 176">
          <a:extLst>
            <a:ext uri="{FF2B5EF4-FFF2-40B4-BE49-F238E27FC236}">
              <a16:creationId xmlns:a16="http://schemas.microsoft.com/office/drawing/2014/main" id="{FA07B6B0-31B5-4454-B3D1-BDAD31AC68F5}"/>
            </a:ext>
          </a:extLst>
        </xdr:cNvPr>
        <xdr:cNvSpPr/>
      </xdr:nvSpPr>
      <xdr:spPr>
        <a:xfrm>
          <a:off x="0" y="97722184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0</xdr:col>
      <xdr:colOff>323850</xdr:colOff>
      <xdr:row>541</xdr:row>
      <xdr:rowOff>120649</xdr:rowOff>
    </xdr:to>
    <xdr:sp macro="" textlink="">
      <xdr:nvSpPr>
        <xdr:cNvPr id="178" name="Frame 177">
          <a:extLst>
            <a:ext uri="{FF2B5EF4-FFF2-40B4-BE49-F238E27FC236}">
              <a16:creationId xmlns:a16="http://schemas.microsoft.com/office/drawing/2014/main" id="{EC866B2E-DB66-4CC2-B795-1C0CC98E6C70}"/>
            </a:ext>
          </a:extLst>
        </xdr:cNvPr>
        <xdr:cNvSpPr/>
      </xdr:nvSpPr>
      <xdr:spPr>
        <a:xfrm>
          <a:off x="0" y="98092087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555</xdr:row>
      <xdr:rowOff>0</xdr:rowOff>
    </xdr:from>
    <xdr:to>
      <xdr:col>0</xdr:col>
      <xdr:colOff>323850</xdr:colOff>
      <xdr:row>556</xdr:row>
      <xdr:rowOff>120650</xdr:rowOff>
    </xdr:to>
    <xdr:sp macro="" textlink="">
      <xdr:nvSpPr>
        <xdr:cNvPr id="179" name="Frame 178">
          <a:extLst>
            <a:ext uri="{FF2B5EF4-FFF2-40B4-BE49-F238E27FC236}">
              <a16:creationId xmlns:a16="http://schemas.microsoft.com/office/drawing/2014/main" id="{F713A00B-34AE-4BD2-A011-EC5195CDE8DE}"/>
            </a:ext>
          </a:extLst>
        </xdr:cNvPr>
        <xdr:cNvSpPr/>
      </xdr:nvSpPr>
      <xdr:spPr>
        <a:xfrm>
          <a:off x="0" y="108504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557</xdr:row>
      <xdr:rowOff>0</xdr:rowOff>
    </xdr:from>
    <xdr:to>
      <xdr:col>0</xdr:col>
      <xdr:colOff>323850</xdr:colOff>
      <xdr:row>558</xdr:row>
      <xdr:rowOff>120650</xdr:rowOff>
    </xdr:to>
    <xdr:sp macro="" textlink="">
      <xdr:nvSpPr>
        <xdr:cNvPr id="180" name="Frame 179">
          <a:extLst>
            <a:ext uri="{FF2B5EF4-FFF2-40B4-BE49-F238E27FC236}">
              <a16:creationId xmlns:a16="http://schemas.microsoft.com/office/drawing/2014/main" id="{015D8689-F626-4722-9FA3-D04E60ED3C2F}"/>
            </a:ext>
          </a:extLst>
        </xdr:cNvPr>
        <xdr:cNvSpPr/>
      </xdr:nvSpPr>
      <xdr:spPr>
        <a:xfrm>
          <a:off x="0" y="1454951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559</xdr:row>
      <xdr:rowOff>0</xdr:rowOff>
    </xdr:from>
    <xdr:to>
      <xdr:col>0</xdr:col>
      <xdr:colOff>323850</xdr:colOff>
      <xdr:row>560</xdr:row>
      <xdr:rowOff>120650</xdr:rowOff>
    </xdr:to>
    <xdr:sp macro="" textlink="">
      <xdr:nvSpPr>
        <xdr:cNvPr id="181" name="Frame 180">
          <a:extLst>
            <a:ext uri="{FF2B5EF4-FFF2-40B4-BE49-F238E27FC236}">
              <a16:creationId xmlns:a16="http://schemas.microsoft.com/office/drawing/2014/main" id="{E110FDE0-C293-4C4D-9570-518D73A172DD}"/>
            </a:ext>
          </a:extLst>
        </xdr:cNvPr>
        <xdr:cNvSpPr/>
      </xdr:nvSpPr>
      <xdr:spPr>
        <a:xfrm>
          <a:off x="0" y="1824854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561</xdr:row>
      <xdr:rowOff>0</xdr:rowOff>
    </xdr:from>
    <xdr:to>
      <xdr:col>0</xdr:col>
      <xdr:colOff>323850</xdr:colOff>
      <xdr:row>562</xdr:row>
      <xdr:rowOff>120650</xdr:rowOff>
    </xdr:to>
    <xdr:sp macro="" textlink="">
      <xdr:nvSpPr>
        <xdr:cNvPr id="182" name="Frame 181">
          <a:extLst>
            <a:ext uri="{FF2B5EF4-FFF2-40B4-BE49-F238E27FC236}">
              <a16:creationId xmlns:a16="http://schemas.microsoft.com/office/drawing/2014/main" id="{AF748D53-7860-44AB-978A-AF2C599AEF11}"/>
            </a:ext>
          </a:extLst>
        </xdr:cNvPr>
        <xdr:cNvSpPr/>
      </xdr:nvSpPr>
      <xdr:spPr>
        <a:xfrm>
          <a:off x="0" y="2194757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323850</xdr:colOff>
      <xdr:row>564</xdr:row>
      <xdr:rowOff>120650</xdr:rowOff>
    </xdr:to>
    <xdr:sp macro="" textlink="">
      <xdr:nvSpPr>
        <xdr:cNvPr id="183" name="Frame 182">
          <a:extLst>
            <a:ext uri="{FF2B5EF4-FFF2-40B4-BE49-F238E27FC236}">
              <a16:creationId xmlns:a16="http://schemas.microsoft.com/office/drawing/2014/main" id="{6FF12CB6-81BC-40F1-B02F-7CB6E8409579}"/>
            </a:ext>
          </a:extLst>
        </xdr:cNvPr>
        <xdr:cNvSpPr/>
      </xdr:nvSpPr>
      <xdr:spPr>
        <a:xfrm>
          <a:off x="0" y="2564660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323850</xdr:colOff>
      <xdr:row>566</xdr:row>
      <xdr:rowOff>120650</xdr:rowOff>
    </xdr:to>
    <xdr:sp macro="" textlink="">
      <xdr:nvSpPr>
        <xdr:cNvPr id="184" name="Frame 183">
          <a:extLst>
            <a:ext uri="{FF2B5EF4-FFF2-40B4-BE49-F238E27FC236}">
              <a16:creationId xmlns:a16="http://schemas.microsoft.com/office/drawing/2014/main" id="{D3BB21A5-F92A-4413-918A-BA1DEE6C81C0}"/>
            </a:ext>
          </a:extLst>
        </xdr:cNvPr>
        <xdr:cNvSpPr/>
      </xdr:nvSpPr>
      <xdr:spPr>
        <a:xfrm>
          <a:off x="0" y="2934563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567</xdr:row>
      <xdr:rowOff>0</xdr:rowOff>
    </xdr:from>
    <xdr:to>
      <xdr:col>0</xdr:col>
      <xdr:colOff>323850</xdr:colOff>
      <xdr:row>568</xdr:row>
      <xdr:rowOff>120650</xdr:rowOff>
    </xdr:to>
    <xdr:sp macro="" textlink="">
      <xdr:nvSpPr>
        <xdr:cNvPr id="185" name="Frame 184">
          <a:extLst>
            <a:ext uri="{FF2B5EF4-FFF2-40B4-BE49-F238E27FC236}">
              <a16:creationId xmlns:a16="http://schemas.microsoft.com/office/drawing/2014/main" id="{AFFC4A93-C264-4E04-BE69-A61D45D6131F}"/>
            </a:ext>
          </a:extLst>
        </xdr:cNvPr>
        <xdr:cNvSpPr/>
      </xdr:nvSpPr>
      <xdr:spPr>
        <a:xfrm>
          <a:off x="0" y="3304466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569</xdr:row>
      <xdr:rowOff>0</xdr:rowOff>
    </xdr:from>
    <xdr:to>
      <xdr:col>0</xdr:col>
      <xdr:colOff>323850</xdr:colOff>
      <xdr:row>570</xdr:row>
      <xdr:rowOff>120650</xdr:rowOff>
    </xdr:to>
    <xdr:sp macro="" textlink="">
      <xdr:nvSpPr>
        <xdr:cNvPr id="186" name="Frame 185">
          <a:extLst>
            <a:ext uri="{FF2B5EF4-FFF2-40B4-BE49-F238E27FC236}">
              <a16:creationId xmlns:a16="http://schemas.microsoft.com/office/drawing/2014/main" id="{86E22DCB-AC13-4A87-9ECF-A7335AF1A0EE}"/>
            </a:ext>
          </a:extLst>
        </xdr:cNvPr>
        <xdr:cNvSpPr/>
      </xdr:nvSpPr>
      <xdr:spPr>
        <a:xfrm>
          <a:off x="0" y="367436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594</xdr:row>
      <xdr:rowOff>0</xdr:rowOff>
    </xdr:from>
    <xdr:to>
      <xdr:col>0</xdr:col>
      <xdr:colOff>323850</xdr:colOff>
      <xdr:row>595</xdr:row>
      <xdr:rowOff>120650</xdr:rowOff>
    </xdr:to>
    <xdr:sp macro="" textlink="">
      <xdr:nvSpPr>
        <xdr:cNvPr id="188" name="Frame 187">
          <a:extLst>
            <a:ext uri="{FF2B5EF4-FFF2-40B4-BE49-F238E27FC236}">
              <a16:creationId xmlns:a16="http://schemas.microsoft.com/office/drawing/2014/main" id="{D6F80E53-B4CE-4136-AB2A-6089BC8FE48B}"/>
            </a:ext>
          </a:extLst>
        </xdr:cNvPr>
        <xdr:cNvSpPr/>
      </xdr:nvSpPr>
      <xdr:spPr>
        <a:xfrm>
          <a:off x="0" y="101051311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596</xdr:row>
      <xdr:rowOff>0</xdr:rowOff>
    </xdr:from>
    <xdr:to>
      <xdr:col>0</xdr:col>
      <xdr:colOff>323850</xdr:colOff>
      <xdr:row>597</xdr:row>
      <xdr:rowOff>120650</xdr:rowOff>
    </xdr:to>
    <xdr:sp macro="" textlink="">
      <xdr:nvSpPr>
        <xdr:cNvPr id="189" name="Frame 188">
          <a:extLst>
            <a:ext uri="{FF2B5EF4-FFF2-40B4-BE49-F238E27FC236}">
              <a16:creationId xmlns:a16="http://schemas.microsoft.com/office/drawing/2014/main" id="{B52F7497-C6BC-475A-932D-63F47B850D61}"/>
            </a:ext>
          </a:extLst>
        </xdr:cNvPr>
        <xdr:cNvSpPr/>
      </xdr:nvSpPr>
      <xdr:spPr>
        <a:xfrm>
          <a:off x="0" y="101421214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598</xdr:row>
      <xdr:rowOff>0</xdr:rowOff>
    </xdr:from>
    <xdr:to>
      <xdr:col>0</xdr:col>
      <xdr:colOff>323850</xdr:colOff>
      <xdr:row>599</xdr:row>
      <xdr:rowOff>120650</xdr:rowOff>
    </xdr:to>
    <xdr:sp macro="" textlink="">
      <xdr:nvSpPr>
        <xdr:cNvPr id="190" name="Frame 189">
          <a:extLst>
            <a:ext uri="{FF2B5EF4-FFF2-40B4-BE49-F238E27FC236}">
              <a16:creationId xmlns:a16="http://schemas.microsoft.com/office/drawing/2014/main" id="{77B83382-D5C4-4438-B709-143F3C77CB85}"/>
            </a:ext>
          </a:extLst>
        </xdr:cNvPr>
        <xdr:cNvSpPr/>
      </xdr:nvSpPr>
      <xdr:spPr>
        <a:xfrm>
          <a:off x="0" y="101791117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600</xdr:row>
      <xdr:rowOff>0</xdr:rowOff>
    </xdr:from>
    <xdr:to>
      <xdr:col>0</xdr:col>
      <xdr:colOff>323850</xdr:colOff>
      <xdr:row>601</xdr:row>
      <xdr:rowOff>120650</xdr:rowOff>
    </xdr:to>
    <xdr:sp macro="" textlink="">
      <xdr:nvSpPr>
        <xdr:cNvPr id="191" name="Frame 190">
          <a:extLst>
            <a:ext uri="{FF2B5EF4-FFF2-40B4-BE49-F238E27FC236}">
              <a16:creationId xmlns:a16="http://schemas.microsoft.com/office/drawing/2014/main" id="{9217C9C2-7042-4044-98B2-BD4E02C01F8D}"/>
            </a:ext>
          </a:extLst>
        </xdr:cNvPr>
        <xdr:cNvSpPr/>
      </xdr:nvSpPr>
      <xdr:spPr>
        <a:xfrm>
          <a:off x="0" y="102161019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602</xdr:row>
      <xdr:rowOff>0</xdr:rowOff>
    </xdr:from>
    <xdr:to>
      <xdr:col>0</xdr:col>
      <xdr:colOff>323850</xdr:colOff>
      <xdr:row>603</xdr:row>
      <xdr:rowOff>120650</xdr:rowOff>
    </xdr:to>
    <xdr:sp macro="" textlink="">
      <xdr:nvSpPr>
        <xdr:cNvPr id="192" name="Frame 191">
          <a:extLst>
            <a:ext uri="{FF2B5EF4-FFF2-40B4-BE49-F238E27FC236}">
              <a16:creationId xmlns:a16="http://schemas.microsoft.com/office/drawing/2014/main" id="{9F623381-764E-4863-98FA-674CBB55F5CF}"/>
            </a:ext>
          </a:extLst>
        </xdr:cNvPr>
        <xdr:cNvSpPr/>
      </xdr:nvSpPr>
      <xdr:spPr>
        <a:xfrm>
          <a:off x="0" y="102530922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0</xdr:col>
      <xdr:colOff>323850</xdr:colOff>
      <xdr:row>605</xdr:row>
      <xdr:rowOff>120650</xdr:rowOff>
    </xdr:to>
    <xdr:sp macro="" textlink="">
      <xdr:nvSpPr>
        <xdr:cNvPr id="193" name="Frame 192">
          <a:extLst>
            <a:ext uri="{FF2B5EF4-FFF2-40B4-BE49-F238E27FC236}">
              <a16:creationId xmlns:a16="http://schemas.microsoft.com/office/drawing/2014/main" id="{893AE69D-B617-46D8-8C72-F7507A6092B6}"/>
            </a:ext>
          </a:extLst>
        </xdr:cNvPr>
        <xdr:cNvSpPr/>
      </xdr:nvSpPr>
      <xdr:spPr>
        <a:xfrm>
          <a:off x="0" y="102900825"/>
          <a:ext cx="323850" cy="305602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621</xdr:row>
      <xdr:rowOff>0</xdr:rowOff>
    </xdr:from>
    <xdr:to>
      <xdr:col>0</xdr:col>
      <xdr:colOff>323850</xdr:colOff>
      <xdr:row>622</xdr:row>
      <xdr:rowOff>120650</xdr:rowOff>
    </xdr:to>
    <xdr:sp macro="" textlink="">
      <xdr:nvSpPr>
        <xdr:cNvPr id="196" name="Frame 195">
          <a:extLst>
            <a:ext uri="{FF2B5EF4-FFF2-40B4-BE49-F238E27FC236}">
              <a16:creationId xmlns:a16="http://schemas.microsoft.com/office/drawing/2014/main" id="{704312D8-AFDE-408A-9749-D97245AAB7AF}"/>
            </a:ext>
          </a:extLst>
        </xdr:cNvPr>
        <xdr:cNvSpPr/>
      </xdr:nvSpPr>
      <xdr:spPr>
        <a:xfrm>
          <a:off x="0" y="108449369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623</xdr:row>
      <xdr:rowOff>0</xdr:rowOff>
    </xdr:from>
    <xdr:to>
      <xdr:col>0</xdr:col>
      <xdr:colOff>323850</xdr:colOff>
      <xdr:row>624</xdr:row>
      <xdr:rowOff>120650</xdr:rowOff>
    </xdr:to>
    <xdr:sp macro="" textlink="">
      <xdr:nvSpPr>
        <xdr:cNvPr id="197" name="Frame 196">
          <a:extLst>
            <a:ext uri="{FF2B5EF4-FFF2-40B4-BE49-F238E27FC236}">
              <a16:creationId xmlns:a16="http://schemas.microsoft.com/office/drawing/2014/main" id="{E48D0C74-358F-41F5-934C-92B721DBA747}"/>
            </a:ext>
          </a:extLst>
        </xdr:cNvPr>
        <xdr:cNvSpPr/>
      </xdr:nvSpPr>
      <xdr:spPr>
        <a:xfrm>
          <a:off x="0" y="108819272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625</xdr:row>
      <xdr:rowOff>0</xdr:rowOff>
    </xdr:from>
    <xdr:to>
      <xdr:col>0</xdr:col>
      <xdr:colOff>323850</xdr:colOff>
      <xdr:row>626</xdr:row>
      <xdr:rowOff>120650</xdr:rowOff>
    </xdr:to>
    <xdr:sp macro="" textlink="">
      <xdr:nvSpPr>
        <xdr:cNvPr id="198" name="Frame 197">
          <a:extLst>
            <a:ext uri="{FF2B5EF4-FFF2-40B4-BE49-F238E27FC236}">
              <a16:creationId xmlns:a16="http://schemas.microsoft.com/office/drawing/2014/main" id="{AA78C1D6-D8B0-4051-8814-8B20DFA11348}"/>
            </a:ext>
          </a:extLst>
        </xdr:cNvPr>
        <xdr:cNvSpPr/>
      </xdr:nvSpPr>
      <xdr:spPr>
        <a:xfrm>
          <a:off x="0" y="109189175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323850</xdr:colOff>
      <xdr:row>628</xdr:row>
      <xdr:rowOff>120650</xdr:rowOff>
    </xdr:to>
    <xdr:sp macro="" textlink="">
      <xdr:nvSpPr>
        <xdr:cNvPr id="199" name="Frame 198">
          <a:extLst>
            <a:ext uri="{FF2B5EF4-FFF2-40B4-BE49-F238E27FC236}">
              <a16:creationId xmlns:a16="http://schemas.microsoft.com/office/drawing/2014/main" id="{B6D36D0C-91DB-4DFC-B79C-221273008188}"/>
            </a:ext>
          </a:extLst>
        </xdr:cNvPr>
        <xdr:cNvSpPr/>
      </xdr:nvSpPr>
      <xdr:spPr>
        <a:xfrm>
          <a:off x="0" y="109559078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629</xdr:row>
      <xdr:rowOff>0</xdr:rowOff>
    </xdr:from>
    <xdr:to>
      <xdr:col>0</xdr:col>
      <xdr:colOff>323850</xdr:colOff>
      <xdr:row>630</xdr:row>
      <xdr:rowOff>120650</xdr:rowOff>
    </xdr:to>
    <xdr:sp macro="" textlink="">
      <xdr:nvSpPr>
        <xdr:cNvPr id="200" name="Frame 199">
          <a:extLst>
            <a:ext uri="{FF2B5EF4-FFF2-40B4-BE49-F238E27FC236}">
              <a16:creationId xmlns:a16="http://schemas.microsoft.com/office/drawing/2014/main" id="{9E1719BE-1092-4AF7-A392-E548D8C6DDE7}"/>
            </a:ext>
          </a:extLst>
        </xdr:cNvPr>
        <xdr:cNvSpPr/>
      </xdr:nvSpPr>
      <xdr:spPr>
        <a:xfrm>
          <a:off x="0" y="109928981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323850</xdr:colOff>
      <xdr:row>22</xdr:row>
      <xdr:rowOff>120650</xdr:rowOff>
    </xdr:to>
    <xdr:sp macro="" textlink="">
      <xdr:nvSpPr>
        <xdr:cNvPr id="168" name="Frame 167">
          <a:extLst>
            <a:ext uri="{FF2B5EF4-FFF2-40B4-BE49-F238E27FC236}">
              <a16:creationId xmlns:a16="http://schemas.microsoft.com/office/drawing/2014/main" id="{45E568CA-BC05-4945-8611-9E8EF358D394}"/>
            </a:ext>
          </a:extLst>
        </xdr:cNvPr>
        <xdr:cNvSpPr/>
      </xdr:nvSpPr>
      <xdr:spPr>
        <a:xfrm>
          <a:off x="0" y="4044272"/>
          <a:ext cx="323850" cy="305601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0</xdr:col>
      <xdr:colOff>323850</xdr:colOff>
      <xdr:row>269</xdr:row>
      <xdr:rowOff>120650</xdr:rowOff>
    </xdr:to>
    <xdr:sp macro="" textlink="">
      <xdr:nvSpPr>
        <xdr:cNvPr id="2" name="Frame 86">
          <a:extLst>
            <a:ext uri="{FF2B5EF4-FFF2-40B4-BE49-F238E27FC236}">
              <a16:creationId xmlns:a16="http://schemas.microsoft.com/office/drawing/2014/main" id="{0A84DAD7-4306-46BC-A3A4-666EC8A0C82F}"/>
            </a:ext>
            <a:ext uri="{147F2762-F138-4A5C-976F-8EAC2B608ADB}">
              <a16:predDERef xmlns:a16="http://schemas.microsoft.com/office/drawing/2014/main" pred="{45E568CA-BC05-4945-8611-9E8EF358D394}"/>
            </a:ext>
          </a:extLst>
        </xdr:cNvPr>
        <xdr:cNvSpPr/>
      </xdr:nvSpPr>
      <xdr:spPr>
        <a:xfrm>
          <a:off x="0" y="496728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323850</xdr:colOff>
      <xdr:row>645</xdr:row>
      <xdr:rowOff>120650</xdr:rowOff>
    </xdr:to>
    <xdr:sp macro="" textlink="">
      <xdr:nvSpPr>
        <xdr:cNvPr id="169" name="Frame 195">
          <a:extLst>
            <a:ext uri="{FF2B5EF4-FFF2-40B4-BE49-F238E27FC236}">
              <a16:creationId xmlns:a16="http://schemas.microsoft.com/office/drawing/2014/main" id="{D92D57D7-ABD6-4224-AD20-5CA0483F5C31}"/>
            </a:ext>
            <a:ext uri="{147F2762-F138-4A5C-976F-8EAC2B608ADB}">
              <a16:predDERef xmlns:a16="http://schemas.microsoft.com/office/drawing/2014/main" pred="{0A84DAD7-4306-46BC-A3A4-666EC8A0C82F}"/>
            </a:ext>
          </a:extLst>
        </xdr:cNvPr>
        <xdr:cNvSpPr/>
      </xdr:nvSpPr>
      <xdr:spPr>
        <a:xfrm>
          <a:off x="0" y="118176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646</xdr:row>
      <xdr:rowOff>0</xdr:rowOff>
    </xdr:from>
    <xdr:to>
      <xdr:col>0</xdr:col>
      <xdr:colOff>323850</xdr:colOff>
      <xdr:row>647</xdr:row>
      <xdr:rowOff>120650</xdr:rowOff>
    </xdr:to>
    <xdr:sp macro="" textlink="">
      <xdr:nvSpPr>
        <xdr:cNvPr id="170" name="Frame 196">
          <a:extLst>
            <a:ext uri="{FF2B5EF4-FFF2-40B4-BE49-F238E27FC236}">
              <a16:creationId xmlns:a16="http://schemas.microsoft.com/office/drawing/2014/main" id="{0A8E49F5-6D01-48EE-99E2-25DEE7362690}"/>
            </a:ext>
            <a:ext uri="{147F2762-F138-4A5C-976F-8EAC2B608ADB}">
              <a16:predDERef xmlns:a16="http://schemas.microsoft.com/office/drawing/2014/main" pred="{D92D57D7-ABD6-4224-AD20-5CA0483F5C31}"/>
            </a:ext>
          </a:extLst>
        </xdr:cNvPr>
        <xdr:cNvSpPr/>
      </xdr:nvSpPr>
      <xdr:spPr>
        <a:xfrm>
          <a:off x="0" y="118557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648</xdr:row>
      <xdr:rowOff>0</xdr:rowOff>
    </xdr:from>
    <xdr:to>
      <xdr:col>0</xdr:col>
      <xdr:colOff>323850</xdr:colOff>
      <xdr:row>649</xdr:row>
      <xdr:rowOff>120650</xdr:rowOff>
    </xdr:to>
    <xdr:sp macro="" textlink="">
      <xdr:nvSpPr>
        <xdr:cNvPr id="176" name="Frame 197">
          <a:extLst>
            <a:ext uri="{FF2B5EF4-FFF2-40B4-BE49-F238E27FC236}">
              <a16:creationId xmlns:a16="http://schemas.microsoft.com/office/drawing/2014/main" id="{811BDDB7-21F7-47CC-A89D-EB6AAFB115EB}"/>
            </a:ext>
            <a:ext uri="{147F2762-F138-4A5C-976F-8EAC2B608ADB}">
              <a16:predDERef xmlns:a16="http://schemas.microsoft.com/office/drawing/2014/main" pred="{0A8E49F5-6D01-48EE-99E2-25DEE7362690}"/>
            </a:ext>
          </a:extLst>
        </xdr:cNvPr>
        <xdr:cNvSpPr/>
      </xdr:nvSpPr>
      <xdr:spPr>
        <a:xfrm>
          <a:off x="0" y="118938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664</xdr:row>
      <xdr:rowOff>0</xdr:rowOff>
    </xdr:from>
    <xdr:to>
      <xdr:col>0</xdr:col>
      <xdr:colOff>323850</xdr:colOff>
      <xdr:row>665</xdr:row>
      <xdr:rowOff>120650</xdr:rowOff>
    </xdr:to>
    <xdr:sp macro="" textlink="">
      <xdr:nvSpPr>
        <xdr:cNvPr id="187" name="Frame 195">
          <a:extLst>
            <a:ext uri="{FF2B5EF4-FFF2-40B4-BE49-F238E27FC236}">
              <a16:creationId xmlns:a16="http://schemas.microsoft.com/office/drawing/2014/main" id="{5C489560-B73C-4588-A217-B6F625C8DD2D}"/>
            </a:ext>
            <a:ext uri="{147F2762-F138-4A5C-976F-8EAC2B608ADB}">
              <a16:predDERef xmlns:a16="http://schemas.microsoft.com/office/drawing/2014/main" pred="{811BDDB7-21F7-47CC-A89D-EB6AAFB115EB}"/>
            </a:ext>
          </a:extLst>
        </xdr:cNvPr>
        <xdr:cNvSpPr/>
      </xdr:nvSpPr>
      <xdr:spPr>
        <a:xfrm>
          <a:off x="0" y="1269968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666</xdr:row>
      <xdr:rowOff>0</xdr:rowOff>
    </xdr:from>
    <xdr:to>
      <xdr:col>0</xdr:col>
      <xdr:colOff>323850</xdr:colOff>
      <xdr:row>667</xdr:row>
      <xdr:rowOff>120650</xdr:rowOff>
    </xdr:to>
    <xdr:sp macro="" textlink="">
      <xdr:nvSpPr>
        <xdr:cNvPr id="194" name="Frame 196">
          <a:extLst>
            <a:ext uri="{FF2B5EF4-FFF2-40B4-BE49-F238E27FC236}">
              <a16:creationId xmlns:a16="http://schemas.microsoft.com/office/drawing/2014/main" id="{103B82C6-8F7C-41FF-897E-3DCBA6B8569B}"/>
            </a:ext>
            <a:ext uri="{147F2762-F138-4A5C-976F-8EAC2B608ADB}">
              <a16:predDERef xmlns:a16="http://schemas.microsoft.com/office/drawing/2014/main" pred="{5C489560-B73C-4588-A217-B6F625C8DD2D}"/>
            </a:ext>
          </a:extLst>
        </xdr:cNvPr>
        <xdr:cNvSpPr/>
      </xdr:nvSpPr>
      <xdr:spPr>
        <a:xfrm>
          <a:off x="0" y="1273778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323850</xdr:colOff>
      <xdr:row>669</xdr:row>
      <xdr:rowOff>120650</xdr:rowOff>
    </xdr:to>
    <xdr:sp macro="" textlink="">
      <xdr:nvSpPr>
        <xdr:cNvPr id="3" name="Frame 196">
          <a:extLst>
            <a:ext uri="{FF2B5EF4-FFF2-40B4-BE49-F238E27FC236}">
              <a16:creationId xmlns:a16="http://schemas.microsoft.com/office/drawing/2014/main" id="{0459FAA5-50B0-4923-A419-19F94C277AA3}"/>
            </a:ext>
            <a:ext uri="{147F2762-F138-4A5C-976F-8EAC2B608ADB}">
              <a16:predDERef xmlns:a16="http://schemas.microsoft.com/office/drawing/2014/main" pred="{103B82C6-8F7C-41FF-897E-3DCBA6B8569B}"/>
            </a:ext>
          </a:extLst>
        </xdr:cNvPr>
        <xdr:cNvSpPr/>
      </xdr:nvSpPr>
      <xdr:spPr>
        <a:xfrm>
          <a:off x="0" y="131683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670</xdr:row>
      <xdr:rowOff>0</xdr:rowOff>
    </xdr:from>
    <xdr:to>
      <xdr:col>0</xdr:col>
      <xdr:colOff>323850</xdr:colOff>
      <xdr:row>671</xdr:row>
      <xdr:rowOff>120650</xdr:rowOff>
    </xdr:to>
    <xdr:sp macro="" textlink="">
      <xdr:nvSpPr>
        <xdr:cNvPr id="4" name="Frame 196">
          <a:extLst>
            <a:ext uri="{FF2B5EF4-FFF2-40B4-BE49-F238E27FC236}">
              <a16:creationId xmlns:a16="http://schemas.microsoft.com/office/drawing/2014/main" id="{37D0E86B-82E0-4731-A9D4-BA54F7979ADA}"/>
            </a:ext>
            <a:ext uri="{147F2762-F138-4A5C-976F-8EAC2B608ADB}">
              <a16:predDERef xmlns:a16="http://schemas.microsoft.com/office/drawing/2014/main" pred="{0459FAA5-50B0-4923-A419-19F94C277AA3}"/>
            </a:ext>
          </a:extLst>
        </xdr:cNvPr>
        <xdr:cNvSpPr/>
      </xdr:nvSpPr>
      <xdr:spPr>
        <a:xfrm>
          <a:off x="0" y="132064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323850</xdr:colOff>
      <xdr:row>673</xdr:row>
      <xdr:rowOff>120650</xdr:rowOff>
    </xdr:to>
    <xdr:sp macro="" textlink="">
      <xdr:nvSpPr>
        <xdr:cNvPr id="5" name="Frame 196">
          <a:extLst>
            <a:ext uri="{FF2B5EF4-FFF2-40B4-BE49-F238E27FC236}">
              <a16:creationId xmlns:a16="http://schemas.microsoft.com/office/drawing/2014/main" id="{398F05A1-2498-4884-B6C2-E77FC3A59B6D}"/>
            </a:ext>
            <a:ext uri="{147F2762-F138-4A5C-976F-8EAC2B608ADB}">
              <a16:predDERef xmlns:a16="http://schemas.microsoft.com/office/drawing/2014/main" pred="{37D0E86B-82E0-4731-A9D4-BA54F7979ADA}"/>
            </a:ext>
          </a:extLst>
        </xdr:cNvPr>
        <xdr:cNvSpPr/>
      </xdr:nvSpPr>
      <xdr:spPr>
        <a:xfrm>
          <a:off x="0" y="132445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323850</xdr:colOff>
      <xdr:row>675</xdr:row>
      <xdr:rowOff>120650</xdr:rowOff>
    </xdr:to>
    <xdr:sp macro="" textlink="">
      <xdr:nvSpPr>
        <xdr:cNvPr id="6" name="Frame 196">
          <a:extLst>
            <a:ext uri="{FF2B5EF4-FFF2-40B4-BE49-F238E27FC236}">
              <a16:creationId xmlns:a16="http://schemas.microsoft.com/office/drawing/2014/main" id="{A3DFB54B-99FB-4B34-9992-93862EF586FF}"/>
            </a:ext>
            <a:ext uri="{147F2762-F138-4A5C-976F-8EAC2B608ADB}">
              <a16:predDERef xmlns:a16="http://schemas.microsoft.com/office/drawing/2014/main" pred="{398F05A1-2498-4884-B6C2-E77FC3A59B6D}"/>
            </a:ext>
          </a:extLst>
        </xdr:cNvPr>
        <xdr:cNvSpPr/>
      </xdr:nvSpPr>
      <xdr:spPr>
        <a:xfrm>
          <a:off x="0" y="132826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676</xdr:row>
      <xdr:rowOff>0</xdr:rowOff>
    </xdr:from>
    <xdr:to>
      <xdr:col>0</xdr:col>
      <xdr:colOff>323850</xdr:colOff>
      <xdr:row>677</xdr:row>
      <xdr:rowOff>120650</xdr:rowOff>
    </xdr:to>
    <xdr:sp macro="" textlink="">
      <xdr:nvSpPr>
        <xdr:cNvPr id="7" name="Frame 196">
          <a:extLst>
            <a:ext uri="{FF2B5EF4-FFF2-40B4-BE49-F238E27FC236}">
              <a16:creationId xmlns:a16="http://schemas.microsoft.com/office/drawing/2014/main" id="{150259AA-AC83-48FC-AC48-2B4F36DC5A31}"/>
            </a:ext>
            <a:ext uri="{147F2762-F138-4A5C-976F-8EAC2B608ADB}">
              <a16:predDERef xmlns:a16="http://schemas.microsoft.com/office/drawing/2014/main" pred="{A3DFB54B-99FB-4B34-9992-93862EF586FF}"/>
            </a:ext>
          </a:extLst>
        </xdr:cNvPr>
        <xdr:cNvSpPr/>
      </xdr:nvSpPr>
      <xdr:spPr>
        <a:xfrm>
          <a:off x="0" y="133207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678</xdr:row>
      <xdr:rowOff>0</xdr:rowOff>
    </xdr:from>
    <xdr:to>
      <xdr:col>0</xdr:col>
      <xdr:colOff>323850</xdr:colOff>
      <xdr:row>679</xdr:row>
      <xdr:rowOff>120650</xdr:rowOff>
    </xdr:to>
    <xdr:sp macro="" textlink="">
      <xdr:nvSpPr>
        <xdr:cNvPr id="8" name="Frame 196">
          <a:extLst>
            <a:ext uri="{FF2B5EF4-FFF2-40B4-BE49-F238E27FC236}">
              <a16:creationId xmlns:a16="http://schemas.microsoft.com/office/drawing/2014/main" id="{81C31126-DF41-44A6-980F-4E73037AF1F2}"/>
            </a:ext>
            <a:ext uri="{147F2762-F138-4A5C-976F-8EAC2B608ADB}">
              <a16:predDERef xmlns:a16="http://schemas.microsoft.com/office/drawing/2014/main" pred="{150259AA-AC83-48FC-AC48-2B4F36DC5A31}"/>
            </a:ext>
          </a:extLst>
        </xdr:cNvPr>
        <xdr:cNvSpPr/>
      </xdr:nvSpPr>
      <xdr:spPr>
        <a:xfrm>
          <a:off x="0" y="133588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680</xdr:row>
      <xdr:rowOff>0</xdr:rowOff>
    </xdr:from>
    <xdr:to>
      <xdr:col>0</xdr:col>
      <xdr:colOff>323850</xdr:colOff>
      <xdr:row>681</xdr:row>
      <xdr:rowOff>120650</xdr:rowOff>
    </xdr:to>
    <xdr:sp macro="" textlink="">
      <xdr:nvSpPr>
        <xdr:cNvPr id="9" name="Frame 196">
          <a:extLst>
            <a:ext uri="{FF2B5EF4-FFF2-40B4-BE49-F238E27FC236}">
              <a16:creationId xmlns:a16="http://schemas.microsoft.com/office/drawing/2014/main" id="{5D593BAB-C668-4D51-A3CC-4F1A27A69BD4}"/>
            </a:ext>
            <a:ext uri="{147F2762-F138-4A5C-976F-8EAC2B608ADB}">
              <a16:predDERef xmlns:a16="http://schemas.microsoft.com/office/drawing/2014/main" pred="{81C31126-DF41-44A6-980F-4E73037AF1F2}"/>
            </a:ext>
          </a:extLst>
        </xdr:cNvPr>
        <xdr:cNvSpPr/>
      </xdr:nvSpPr>
      <xdr:spPr>
        <a:xfrm>
          <a:off x="0" y="133969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682</xdr:row>
      <xdr:rowOff>0</xdr:rowOff>
    </xdr:from>
    <xdr:to>
      <xdr:col>0</xdr:col>
      <xdr:colOff>323850</xdr:colOff>
      <xdr:row>683</xdr:row>
      <xdr:rowOff>120650</xdr:rowOff>
    </xdr:to>
    <xdr:sp macro="" textlink="">
      <xdr:nvSpPr>
        <xdr:cNvPr id="10" name="Frame 196">
          <a:extLst>
            <a:ext uri="{FF2B5EF4-FFF2-40B4-BE49-F238E27FC236}">
              <a16:creationId xmlns:a16="http://schemas.microsoft.com/office/drawing/2014/main" id="{F079928F-81C0-4FD0-9F9C-5F51659127A1}"/>
            </a:ext>
            <a:ext uri="{147F2762-F138-4A5C-976F-8EAC2B608ADB}">
              <a16:predDERef xmlns:a16="http://schemas.microsoft.com/office/drawing/2014/main" pred="{5D593BAB-C668-4D51-A3CC-4F1A27A69BD4}"/>
            </a:ext>
          </a:extLst>
        </xdr:cNvPr>
        <xdr:cNvSpPr/>
      </xdr:nvSpPr>
      <xdr:spPr>
        <a:xfrm>
          <a:off x="0" y="134350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684</xdr:row>
      <xdr:rowOff>0</xdr:rowOff>
    </xdr:from>
    <xdr:to>
      <xdr:col>0</xdr:col>
      <xdr:colOff>323850</xdr:colOff>
      <xdr:row>685</xdr:row>
      <xdr:rowOff>120650</xdr:rowOff>
    </xdr:to>
    <xdr:sp macro="" textlink="">
      <xdr:nvSpPr>
        <xdr:cNvPr id="21" name="Frame 196">
          <a:extLst>
            <a:ext uri="{FF2B5EF4-FFF2-40B4-BE49-F238E27FC236}">
              <a16:creationId xmlns:a16="http://schemas.microsoft.com/office/drawing/2014/main" id="{88C5DB7E-0FDF-45B4-AA2A-BA1FDC448B91}"/>
            </a:ext>
            <a:ext uri="{147F2762-F138-4A5C-976F-8EAC2B608ADB}">
              <a16:predDERef xmlns:a16="http://schemas.microsoft.com/office/drawing/2014/main" pred="{F079928F-81C0-4FD0-9F9C-5F51659127A1}"/>
            </a:ext>
          </a:extLst>
        </xdr:cNvPr>
        <xdr:cNvSpPr/>
      </xdr:nvSpPr>
      <xdr:spPr>
        <a:xfrm>
          <a:off x="0" y="134731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686</xdr:row>
      <xdr:rowOff>0</xdr:rowOff>
    </xdr:from>
    <xdr:to>
      <xdr:col>0</xdr:col>
      <xdr:colOff>323850</xdr:colOff>
      <xdr:row>687</xdr:row>
      <xdr:rowOff>120650</xdr:rowOff>
    </xdr:to>
    <xdr:sp macro="" textlink="">
      <xdr:nvSpPr>
        <xdr:cNvPr id="28" name="Frame 196">
          <a:extLst>
            <a:ext uri="{FF2B5EF4-FFF2-40B4-BE49-F238E27FC236}">
              <a16:creationId xmlns:a16="http://schemas.microsoft.com/office/drawing/2014/main" id="{05385BD6-3611-464B-9642-6E4BC2A0447C}"/>
            </a:ext>
            <a:ext uri="{147F2762-F138-4A5C-976F-8EAC2B608ADB}">
              <a16:predDERef xmlns:a16="http://schemas.microsoft.com/office/drawing/2014/main" pred="{88C5DB7E-0FDF-45B4-AA2A-BA1FDC448B91}"/>
            </a:ext>
          </a:extLst>
        </xdr:cNvPr>
        <xdr:cNvSpPr/>
      </xdr:nvSpPr>
      <xdr:spPr>
        <a:xfrm>
          <a:off x="0" y="13511212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</xdr:row>
      <xdr:rowOff>177800</xdr:rowOff>
    </xdr:from>
    <xdr:to>
      <xdr:col>0</xdr:col>
      <xdr:colOff>330200</xdr:colOff>
      <xdr:row>6</xdr:row>
      <xdr:rowOff>114300</xdr:rowOff>
    </xdr:to>
    <xdr:sp macro="" textlink="">
      <xdr:nvSpPr>
        <xdr:cNvPr id="9" name="Frame 8">
          <a:extLst>
            <a:ext uri="{FF2B5EF4-FFF2-40B4-BE49-F238E27FC236}">
              <a16:creationId xmlns:a16="http://schemas.microsoft.com/office/drawing/2014/main" id="{34AD2BDA-6144-474F-AC9A-DED0ECCB3C4D}"/>
            </a:ext>
          </a:extLst>
        </xdr:cNvPr>
        <xdr:cNvSpPr/>
      </xdr:nvSpPr>
      <xdr:spPr>
        <a:xfrm>
          <a:off x="6350" y="4649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10" name="Frame 9">
          <a:extLst>
            <a:ext uri="{FF2B5EF4-FFF2-40B4-BE49-F238E27FC236}">
              <a16:creationId xmlns:a16="http://schemas.microsoft.com/office/drawing/2014/main" id="{DFC0F275-C6CB-4594-8F60-CC1F0FB45F27}"/>
            </a:ext>
          </a:extLst>
        </xdr:cNvPr>
        <xdr:cNvSpPr/>
      </xdr:nvSpPr>
      <xdr:spPr>
        <a:xfrm>
          <a:off x="0" y="46869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130B4294-4008-45F3-8ED9-EAAB7DADF632}"/>
            </a:ext>
          </a:extLst>
        </xdr:cNvPr>
        <xdr:cNvSpPr/>
      </xdr:nvSpPr>
      <xdr:spPr>
        <a:xfrm>
          <a:off x="0" y="4723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12" name="Frame 11">
          <a:extLst>
            <a:ext uri="{FF2B5EF4-FFF2-40B4-BE49-F238E27FC236}">
              <a16:creationId xmlns:a16="http://schemas.microsoft.com/office/drawing/2014/main" id="{3B3203A8-434E-421F-B97C-D7DF21C9BF79}"/>
            </a:ext>
          </a:extLst>
        </xdr:cNvPr>
        <xdr:cNvSpPr/>
      </xdr:nvSpPr>
      <xdr:spPr>
        <a:xfrm>
          <a:off x="0" y="4760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5C485AA6-966D-4843-A0EB-3D0C93622C9F}"/>
            </a:ext>
          </a:extLst>
        </xdr:cNvPr>
        <xdr:cNvSpPr/>
      </xdr:nvSpPr>
      <xdr:spPr>
        <a:xfrm>
          <a:off x="0" y="4797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33BA2346-4820-4276-B496-71099E14BB1F}"/>
            </a:ext>
          </a:extLst>
        </xdr:cNvPr>
        <xdr:cNvSpPr/>
      </xdr:nvSpPr>
      <xdr:spPr>
        <a:xfrm>
          <a:off x="0" y="4834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18</xdr:row>
      <xdr:rowOff>120650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F7BD18AF-9F0A-4157-9913-686369399E80}"/>
            </a:ext>
          </a:extLst>
        </xdr:cNvPr>
        <xdr:cNvSpPr/>
      </xdr:nvSpPr>
      <xdr:spPr>
        <a:xfrm>
          <a:off x="0" y="48710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323850</xdr:colOff>
      <xdr:row>20</xdr:row>
      <xdr:rowOff>120650</xdr:rowOff>
    </xdr:to>
    <xdr:sp macro="" textlink="">
      <xdr:nvSpPr>
        <xdr:cNvPr id="16" name="Frame 15">
          <a:extLst>
            <a:ext uri="{FF2B5EF4-FFF2-40B4-BE49-F238E27FC236}">
              <a16:creationId xmlns:a16="http://schemas.microsoft.com/office/drawing/2014/main" id="{A776E266-0178-4EFD-AABE-7B2F4B8B521C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323850</xdr:colOff>
      <xdr:row>22</xdr:row>
      <xdr:rowOff>120650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C301B9FD-F1DF-4377-A3DD-86A17293FC33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323850</xdr:colOff>
      <xdr:row>24</xdr:row>
      <xdr:rowOff>120650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6F7ECFD3-B424-4E51-BC77-D10C25C577BC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323850</xdr:colOff>
      <xdr:row>26</xdr:row>
      <xdr:rowOff>120650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6D9492BB-A382-4E45-B283-C102CA5DA1E2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323850</xdr:colOff>
      <xdr:row>28</xdr:row>
      <xdr:rowOff>120650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287A56E6-3948-4AA4-A603-DDB451561519}"/>
            </a:ext>
          </a:extLst>
        </xdr:cNvPr>
        <xdr:cNvSpPr/>
      </xdr:nvSpPr>
      <xdr:spPr>
        <a:xfrm>
          <a:off x="0" y="5124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46</xdr:row>
      <xdr:rowOff>177800</xdr:rowOff>
    </xdr:from>
    <xdr:to>
      <xdr:col>0</xdr:col>
      <xdr:colOff>330200</xdr:colOff>
      <xdr:row>48</xdr:row>
      <xdr:rowOff>114300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A109A291-B9C2-4A6C-8976-D6B4FA377EC3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323850</xdr:colOff>
      <xdr:row>50</xdr:row>
      <xdr:rowOff>120650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5A8256BC-57F6-4F14-99A4-E6B9466C3AA3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323850</xdr:colOff>
      <xdr:row>52</xdr:row>
      <xdr:rowOff>120650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F62F5612-1FF0-449E-B1DE-08764F7C7F75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323850</xdr:colOff>
      <xdr:row>54</xdr:row>
      <xdr:rowOff>120650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CC6BB631-765F-4ED3-8F3E-8DBB919FBC75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323850</xdr:colOff>
      <xdr:row>56</xdr:row>
      <xdr:rowOff>120650</xdr:rowOff>
    </xdr:to>
    <xdr:sp macro="" textlink="">
      <xdr:nvSpPr>
        <xdr:cNvPr id="26" name="Frame 25">
          <a:extLst>
            <a:ext uri="{FF2B5EF4-FFF2-40B4-BE49-F238E27FC236}">
              <a16:creationId xmlns:a16="http://schemas.microsoft.com/office/drawing/2014/main" id="{2FFEEB31-D169-4AE5-B436-5C179BD0E553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323850</xdr:colOff>
      <xdr:row>58</xdr:row>
      <xdr:rowOff>120650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1F993916-D2AB-42C1-9654-5A9F4055F451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323850</xdr:colOff>
      <xdr:row>60</xdr:row>
      <xdr:rowOff>120650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401BFE54-B23B-4929-8CA4-0256E1F20124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323850</xdr:colOff>
      <xdr:row>62</xdr:row>
      <xdr:rowOff>120650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32CEA300-29C5-4601-9B5F-395463DDFBEC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323850</xdr:colOff>
      <xdr:row>64</xdr:row>
      <xdr:rowOff>120650</xdr:rowOff>
    </xdr:to>
    <xdr:sp macro="" textlink="">
      <xdr:nvSpPr>
        <xdr:cNvPr id="30" name="Frame 29">
          <a:extLst>
            <a:ext uri="{FF2B5EF4-FFF2-40B4-BE49-F238E27FC236}">
              <a16:creationId xmlns:a16="http://schemas.microsoft.com/office/drawing/2014/main" id="{40A2C5A8-E1C4-42E9-99D0-1D51EB612C3D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323850</xdr:colOff>
      <xdr:row>66</xdr:row>
      <xdr:rowOff>120650</xdr:rowOff>
    </xdr:to>
    <xdr:sp macro="" textlink="">
      <xdr:nvSpPr>
        <xdr:cNvPr id="31" name="Frame 30">
          <a:extLst>
            <a:ext uri="{FF2B5EF4-FFF2-40B4-BE49-F238E27FC236}">
              <a16:creationId xmlns:a16="http://schemas.microsoft.com/office/drawing/2014/main" id="{AF34397A-A832-42C2-A454-17346A5CB7AE}"/>
            </a:ext>
          </a:extLst>
        </xdr:cNvPr>
        <xdr:cNvSpPr/>
      </xdr:nvSpPr>
      <xdr:spPr>
        <a:xfrm>
          <a:off x="0" y="4387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323850</xdr:colOff>
      <xdr:row>68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FEBCDB8D-94A7-49A1-8ED0-E4E6F7AB2214}"/>
            </a:ext>
          </a:extLst>
        </xdr:cNvPr>
        <xdr:cNvSpPr/>
      </xdr:nvSpPr>
      <xdr:spPr>
        <a:xfrm>
          <a:off x="0" y="4756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323850</xdr:colOff>
      <xdr:row>70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0845DB4C-52B5-4A73-BE18-752EA4E25664}"/>
            </a:ext>
          </a:extLst>
        </xdr:cNvPr>
        <xdr:cNvSpPr/>
      </xdr:nvSpPr>
      <xdr:spPr>
        <a:xfrm>
          <a:off x="0" y="5124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323850</xdr:colOff>
      <xdr:row>72</xdr:row>
      <xdr:rowOff>120650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D5C0934C-96E5-4A60-A870-9C18E4A8B526}"/>
            </a:ext>
          </a:extLst>
        </xdr:cNvPr>
        <xdr:cNvSpPr/>
      </xdr:nvSpPr>
      <xdr:spPr>
        <a:xfrm>
          <a:off x="0" y="5492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85</xdr:row>
      <xdr:rowOff>177800</xdr:rowOff>
    </xdr:from>
    <xdr:to>
      <xdr:col>0</xdr:col>
      <xdr:colOff>330200</xdr:colOff>
      <xdr:row>87</xdr:row>
      <xdr:rowOff>114300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BBB4D02C-9617-4755-9478-A3E850C54171}"/>
            </a:ext>
          </a:extLst>
        </xdr:cNvPr>
        <xdr:cNvSpPr/>
      </xdr:nvSpPr>
      <xdr:spPr>
        <a:xfrm>
          <a:off x="6350" y="1066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323850</xdr:colOff>
      <xdr:row>89</xdr:row>
      <xdr:rowOff>120650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4CE1E96C-7284-42F9-9649-C5C73B439785}"/>
            </a:ext>
          </a:extLst>
        </xdr:cNvPr>
        <xdr:cNvSpPr/>
      </xdr:nvSpPr>
      <xdr:spPr>
        <a:xfrm>
          <a:off x="0" y="14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323850</xdr:colOff>
      <xdr:row>91</xdr:row>
      <xdr:rowOff>120650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FFBE1BFE-2806-450E-AA0D-3E587B73BE83}"/>
            </a:ext>
          </a:extLst>
        </xdr:cNvPr>
        <xdr:cNvSpPr/>
      </xdr:nvSpPr>
      <xdr:spPr>
        <a:xfrm>
          <a:off x="0" y="1809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323850</xdr:colOff>
      <xdr:row>93</xdr:row>
      <xdr:rowOff>120650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A845AA0E-F4AF-4AC5-A57E-B492B1A7CCF7}"/>
            </a:ext>
          </a:extLst>
        </xdr:cNvPr>
        <xdr:cNvSpPr/>
      </xdr:nvSpPr>
      <xdr:spPr>
        <a:xfrm>
          <a:off x="0" y="2178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323850</xdr:colOff>
      <xdr:row>95</xdr:row>
      <xdr:rowOff>120650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164578DE-BC86-4B37-B26C-ACF3BDD2D90E}"/>
            </a:ext>
          </a:extLst>
        </xdr:cNvPr>
        <xdr:cNvSpPr/>
      </xdr:nvSpPr>
      <xdr:spPr>
        <a:xfrm>
          <a:off x="0" y="2546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323850</xdr:colOff>
      <xdr:row>97</xdr:row>
      <xdr:rowOff>120650</xdr:rowOff>
    </xdr:to>
    <xdr:sp macro="" textlink="">
      <xdr:nvSpPr>
        <xdr:cNvPr id="40" name="Frame 39">
          <a:extLst>
            <a:ext uri="{FF2B5EF4-FFF2-40B4-BE49-F238E27FC236}">
              <a16:creationId xmlns:a16="http://schemas.microsoft.com/office/drawing/2014/main" id="{360DC308-8478-48A0-9F9A-819DF930607B}"/>
            </a:ext>
          </a:extLst>
        </xdr:cNvPr>
        <xdr:cNvSpPr/>
      </xdr:nvSpPr>
      <xdr:spPr>
        <a:xfrm>
          <a:off x="0" y="2914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323850</xdr:colOff>
      <xdr:row>99</xdr:row>
      <xdr:rowOff>120650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31E55CDD-CD4D-4AD0-A2F5-0C0D1F5C34CD}"/>
            </a:ext>
          </a:extLst>
        </xdr:cNvPr>
        <xdr:cNvSpPr/>
      </xdr:nvSpPr>
      <xdr:spPr>
        <a:xfrm>
          <a:off x="0" y="3282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323850</xdr:colOff>
      <xdr:row>101</xdr:row>
      <xdr:rowOff>120650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3EA2C8CD-067D-4FF1-9306-08F166F956F6}"/>
            </a:ext>
          </a:extLst>
        </xdr:cNvPr>
        <xdr:cNvSpPr/>
      </xdr:nvSpPr>
      <xdr:spPr>
        <a:xfrm>
          <a:off x="0" y="3651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323850</xdr:colOff>
      <xdr:row>103</xdr:row>
      <xdr:rowOff>120650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8C8C49F6-A138-4B51-8180-266B8F3C2550}"/>
            </a:ext>
          </a:extLst>
        </xdr:cNvPr>
        <xdr:cNvSpPr/>
      </xdr:nvSpPr>
      <xdr:spPr>
        <a:xfrm>
          <a:off x="0" y="4019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113</xdr:row>
      <xdr:rowOff>177800</xdr:rowOff>
    </xdr:from>
    <xdr:to>
      <xdr:col>0</xdr:col>
      <xdr:colOff>330200</xdr:colOff>
      <xdr:row>115</xdr:row>
      <xdr:rowOff>114300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73D516F5-2410-4D8D-86B3-90D8D5862A72}"/>
            </a:ext>
          </a:extLst>
        </xdr:cNvPr>
        <xdr:cNvSpPr/>
      </xdr:nvSpPr>
      <xdr:spPr>
        <a:xfrm>
          <a:off x="6350" y="842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323850</xdr:colOff>
      <xdr:row>117</xdr:row>
      <xdr:rowOff>120650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B7F41719-2C15-43BB-9554-CF003C23FB35}"/>
            </a:ext>
          </a:extLst>
        </xdr:cNvPr>
        <xdr:cNvSpPr/>
      </xdr:nvSpPr>
      <xdr:spPr>
        <a:xfrm>
          <a:off x="0" y="880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10594C61-CDDA-42AC-B8C7-35F711025694}"/>
            </a:ext>
          </a:extLst>
        </xdr:cNvPr>
        <xdr:cNvSpPr/>
      </xdr:nvSpPr>
      <xdr:spPr>
        <a:xfrm>
          <a:off x="0" y="916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323850</xdr:colOff>
      <xdr:row>121</xdr:row>
      <xdr:rowOff>120650</xdr:rowOff>
    </xdr:to>
    <xdr:sp macro="" textlink="">
      <xdr:nvSpPr>
        <xdr:cNvPr id="51" name="Frame 50">
          <a:extLst>
            <a:ext uri="{FF2B5EF4-FFF2-40B4-BE49-F238E27FC236}">
              <a16:creationId xmlns:a16="http://schemas.microsoft.com/office/drawing/2014/main" id="{A5BFBA8C-506E-4451-9A45-F5590ED493A7}"/>
            </a:ext>
          </a:extLst>
        </xdr:cNvPr>
        <xdr:cNvSpPr/>
      </xdr:nvSpPr>
      <xdr:spPr>
        <a:xfrm>
          <a:off x="0" y="953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323850</xdr:colOff>
      <xdr:row>123</xdr:row>
      <xdr:rowOff>120650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CC2A61E8-00A9-42BF-89FC-BA1D6FACA7D1}"/>
            </a:ext>
          </a:extLst>
        </xdr:cNvPr>
        <xdr:cNvSpPr/>
      </xdr:nvSpPr>
      <xdr:spPr>
        <a:xfrm>
          <a:off x="0" y="990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323850</xdr:colOff>
      <xdr:row>125</xdr:row>
      <xdr:rowOff>120650</xdr:rowOff>
    </xdr:to>
    <xdr:sp macro="" textlink="">
      <xdr:nvSpPr>
        <xdr:cNvPr id="53" name="Frame 52">
          <a:extLst>
            <a:ext uri="{FF2B5EF4-FFF2-40B4-BE49-F238E27FC236}">
              <a16:creationId xmlns:a16="http://schemas.microsoft.com/office/drawing/2014/main" id="{A6D72075-4DBD-4A09-9E35-13A479FF13DD}"/>
            </a:ext>
          </a:extLst>
        </xdr:cNvPr>
        <xdr:cNvSpPr/>
      </xdr:nvSpPr>
      <xdr:spPr>
        <a:xfrm>
          <a:off x="0" y="1027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323850</xdr:colOff>
      <xdr:row>127</xdr:row>
      <xdr:rowOff>120650</xdr:rowOff>
    </xdr:to>
    <xdr:sp macro="" textlink="">
      <xdr:nvSpPr>
        <xdr:cNvPr id="54" name="Frame 53">
          <a:extLst>
            <a:ext uri="{FF2B5EF4-FFF2-40B4-BE49-F238E27FC236}">
              <a16:creationId xmlns:a16="http://schemas.microsoft.com/office/drawing/2014/main" id="{73FCA973-0471-447F-9631-F1BB9C81C3DA}"/>
            </a:ext>
          </a:extLst>
        </xdr:cNvPr>
        <xdr:cNvSpPr/>
      </xdr:nvSpPr>
      <xdr:spPr>
        <a:xfrm>
          <a:off x="0" y="1064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323850</xdr:colOff>
      <xdr:row>129</xdr:row>
      <xdr:rowOff>120650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37A68137-E5AA-4A5E-9414-B3C426736D62}"/>
            </a:ext>
          </a:extLst>
        </xdr:cNvPr>
        <xdr:cNvSpPr/>
      </xdr:nvSpPr>
      <xdr:spPr>
        <a:xfrm>
          <a:off x="0" y="1101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142</xdr:row>
      <xdr:rowOff>177800</xdr:rowOff>
    </xdr:from>
    <xdr:to>
      <xdr:col>0</xdr:col>
      <xdr:colOff>330200</xdr:colOff>
      <xdr:row>144</xdr:row>
      <xdr:rowOff>114300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E8C4DC3E-F40A-46AE-8F03-F2A63CD7B28C}"/>
            </a:ext>
          </a:extLst>
        </xdr:cNvPr>
        <xdr:cNvSpPr/>
      </xdr:nvSpPr>
      <xdr:spPr>
        <a:xfrm>
          <a:off x="6350" y="2167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323850</xdr:colOff>
      <xdr:row>146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1DEDFA4F-62CA-4EB0-AFBC-7A770C4F85F2}"/>
            </a:ext>
          </a:extLst>
        </xdr:cNvPr>
        <xdr:cNvSpPr/>
      </xdr:nvSpPr>
      <xdr:spPr>
        <a:xfrm>
          <a:off x="0" y="22047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323850</xdr:colOff>
      <xdr:row>148</xdr:row>
      <xdr:rowOff>120650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13B20E96-E83F-4260-BAEF-B45EC6B9256F}"/>
            </a:ext>
          </a:extLst>
        </xdr:cNvPr>
        <xdr:cNvSpPr/>
      </xdr:nvSpPr>
      <xdr:spPr>
        <a:xfrm>
          <a:off x="0" y="22415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323850</xdr:colOff>
      <xdr:row>150</xdr:row>
      <xdr:rowOff>120650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65957A84-23BD-4375-92A3-1C3A960FAEF7}"/>
            </a:ext>
          </a:extLst>
        </xdr:cNvPr>
        <xdr:cNvSpPr/>
      </xdr:nvSpPr>
      <xdr:spPr>
        <a:xfrm>
          <a:off x="0" y="22783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323850</xdr:colOff>
      <xdr:row>152</xdr:row>
      <xdr:rowOff>120650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C4BDFF10-F19B-4458-A132-382B2C4A031B}"/>
            </a:ext>
          </a:extLst>
        </xdr:cNvPr>
        <xdr:cNvSpPr/>
      </xdr:nvSpPr>
      <xdr:spPr>
        <a:xfrm>
          <a:off x="0" y="23152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323850</xdr:colOff>
      <xdr:row>154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75986EC0-290D-4D4D-975D-DF46A3FF6141}"/>
            </a:ext>
          </a:extLst>
        </xdr:cNvPr>
        <xdr:cNvSpPr/>
      </xdr:nvSpPr>
      <xdr:spPr>
        <a:xfrm>
          <a:off x="0" y="23520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323850</xdr:colOff>
      <xdr:row>156</xdr:row>
      <xdr:rowOff>120650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0C3E28D1-D3EB-46E5-A12A-CDED4215EBEA}"/>
            </a:ext>
          </a:extLst>
        </xdr:cNvPr>
        <xdr:cNvSpPr/>
      </xdr:nvSpPr>
      <xdr:spPr>
        <a:xfrm>
          <a:off x="0" y="2388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323850</xdr:colOff>
      <xdr:row>158</xdr:row>
      <xdr:rowOff>120650</xdr:rowOff>
    </xdr:to>
    <xdr:sp macro="" textlink="">
      <xdr:nvSpPr>
        <xdr:cNvPr id="68" name="Frame 67">
          <a:extLst>
            <a:ext uri="{FF2B5EF4-FFF2-40B4-BE49-F238E27FC236}">
              <a16:creationId xmlns:a16="http://schemas.microsoft.com/office/drawing/2014/main" id="{E6BE387C-206D-489F-BE51-38D0FA276B68}"/>
            </a:ext>
          </a:extLst>
        </xdr:cNvPr>
        <xdr:cNvSpPr/>
      </xdr:nvSpPr>
      <xdr:spPr>
        <a:xfrm>
          <a:off x="0" y="24257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171</xdr:row>
      <xdr:rowOff>177800</xdr:rowOff>
    </xdr:from>
    <xdr:to>
      <xdr:col>0</xdr:col>
      <xdr:colOff>330200</xdr:colOff>
      <xdr:row>173</xdr:row>
      <xdr:rowOff>114300</xdr:rowOff>
    </xdr:to>
    <xdr:sp macro="" textlink="">
      <xdr:nvSpPr>
        <xdr:cNvPr id="69" name="Frame 68">
          <a:extLst>
            <a:ext uri="{FF2B5EF4-FFF2-40B4-BE49-F238E27FC236}">
              <a16:creationId xmlns:a16="http://schemas.microsoft.com/office/drawing/2014/main" id="{E51D008C-87C1-4BA6-9D12-22F76A8D059D}"/>
            </a:ext>
          </a:extLst>
        </xdr:cNvPr>
        <xdr:cNvSpPr/>
      </xdr:nvSpPr>
      <xdr:spPr>
        <a:xfrm>
          <a:off x="6350" y="2719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323850</xdr:colOff>
      <xdr:row>175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6EC0F909-C387-4518-A2C1-F5BB99CFF966}"/>
            </a:ext>
          </a:extLst>
        </xdr:cNvPr>
        <xdr:cNvSpPr/>
      </xdr:nvSpPr>
      <xdr:spPr>
        <a:xfrm>
          <a:off x="0" y="2756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323850</xdr:colOff>
      <xdr:row>177</xdr:row>
      <xdr:rowOff>120650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E3B85C0D-F6B3-4CB6-8BB8-49EFD9461FF8}"/>
            </a:ext>
          </a:extLst>
        </xdr:cNvPr>
        <xdr:cNvSpPr/>
      </xdr:nvSpPr>
      <xdr:spPr>
        <a:xfrm>
          <a:off x="0" y="2793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323850</xdr:colOff>
      <xdr:row>179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2F03BE14-BEAB-47F4-B117-EB9A8C170D30}"/>
            </a:ext>
          </a:extLst>
        </xdr:cNvPr>
        <xdr:cNvSpPr/>
      </xdr:nvSpPr>
      <xdr:spPr>
        <a:xfrm>
          <a:off x="0" y="2830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323850</xdr:colOff>
      <xdr:row>181</xdr:row>
      <xdr:rowOff>120650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F3B7CDF5-6E8C-45F0-BF57-DB6C4EF01392}"/>
            </a:ext>
          </a:extLst>
        </xdr:cNvPr>
        <xdr:cNvSpPr/>
      </xdr:nvSpPr>
      <xdr:spPr>
        <a:xfrm>
          <a:off x="0" y="2867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323850</xdr:colOff>
      <xdr:row>183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EFA01E74-0EFB-4E73-9A4B-3D017EA06A51}"/>
            </a:ext>
          </a:extLst>
        </xdr:cNvPr>
        <xdr:cNvSpPr/>
      </xdr:nvSpPr>
      <xdr:spPr>
        <a:xfrm>
          <a:off x="0" y="2903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197</xdr:row>
      <xdr:rowOff>177800</xdr:rowOff>
    </xdr:from>
    <xdr:to>
      <xdr:col>0</xdr:col>
      <xdr:colOff>330200</xdr:colOff>
      <xdr:row>199</xdr:row>
      <xdr:rowOff>114300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FCAB3A2B-81B1-43BD-9F44-59A1A0DF2AB4}"/>
            </a:ext>
          </a:extLst>
        </xdr:cNvPr>
        <xdr:cNvSpPr/>
      </xdr:nvSpPr>
      <xdr:spPr>
        <a:xfrm>
          <a:off x="6350" y="842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323850</xdr:colOff>
      <xdr:row>201</xdr:row>
      <xdr:rowOff>120650</xdr:rowOff>
    </xdr:to>
    <xdr:sp macro="" textlink="">
      <xdr:nvSpPr>
        <xdr:cNvPr id="78" name="Frame 77">
          <a:extLst>
            <a:ext uri="{FF2B5EF4-FFF2-40B4-BE49-F238E27FC236}">
              <a16:creationId xmlns:a16="http://schemas.microsoft.com/office/drawing/2014/main" id="{30FF82BE-54CE-4BB4-B336-DA3C0314AD28}"/>
            </a:ext>
          </a:extLst>
        </xdr:cNvPr>
        <xdr:cNvSpPr/>
      </xdr:nvSpPr>
      <xdr:spPr>
        <a:xfrm>
          <a:off x="0" y="880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323850</xdr:colOff>
      <xdr:row>203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62DEE292-8558-4FD0-BF54-7EC330DE18D1}"/>
            </a:ext>
          </a:extLst>
        </xdr:cNvPr>
        <xdr:cNvSpPr/>
      </xdr:nvSpPr>
      <xdr:spPr>
        <a:xfrm>
          <a:off x="0" y="916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323850</xdr:colOff>
      <xdr:row>205</xdr:row>
      <xdr:rowOff>120650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C0A1CDE0-72FB-4C5F-A855-CE746688D4E3}"/>
            </a:ext>
          </a:extLst>
        </xdr:cNvPr>
        <xdr:cNvSpPr/>
      </xdr:nvSpPr>
      <xdr:spPr>
        <a:xfrm>
          <a:off x="0" y="953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323850</xdr:colOff>
      <xdr:row>207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34C46C49-51C0-47EE-B37F-8A849CD80EA9}"/>
            </a:ext>
          </a:extLst>
        </xdr:cNvPr>
        <xdr:cNvSpPr/>
      </xdr:nvSpPr>
      <xdr:spPr>
        <a:xfrm>
          <a:off x="0" y="990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323850</xdr:colOff>
      <xdr:row>209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A42B05CA-23B5-488B-ACA3-B98E04C1956D}"/>
            </a:ext>
          </a:extLst>
        </xdr:cNvPr>
        <xdr:cNvSpPr/>
      </xdr:nvSpPr>
      <xdr:spPr>
        <a:xfrm>
          <a:off x="0" y="1027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323850</xdr:colOff>
      <xdr:row>211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22AF2DED-E6BD-47E4-8F55-0C209C67F858}"/>
            </a:ext>
          </a:extLst>
        </xdr:cNvPr>
        <xdr:cNvSpPr/>
      </xdr:nvSpPr>
      <xdr:spPr>
        <a:xfrm>
          <a:off x="0" y="1064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0</xdr:col>
      <xdr:colOff>323850</xdr:colOff>
      <xdr:row>213</xdr:row>
      <xdr:rowOff>120650</xdr:rowOff>
    </xdr:to>
    <xdr:sp macro="" textlink="">
      <xdr:nvSpPr>
        <xdr:cNvPr id="84" name="Frame 83">
          <a:extLst>
            <a:ext uri="{FF2B5EF4-FFF2-40B4-BE49-F238E27FC236}">
              <a16:creationId xmlns:a16="http://schemas.microsoft.com/office/drawing/2014/main" id="{75FE322B-67ED-4007-A6C0-983B01DABD04}"/>
            </a:ext>
          </a:extLst>
        </xdr:cNvPr>
        <xdr:cNvSpPr/>
      </xdr:nvSpPr>
      <xdr:spPr>
        <a:xfrm>
          <a:off x="0" y="11010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323850</xdr:colOff>
      <xdr:row>215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6C497617-7520-4DBF-9976-AE8AD0E75277}"/>
            </a:ext>
          </a:extLst>
        </xdr:cNvPr>
        <xdr:cNvSpPr/>
      </xdr:nvSpPr>
      <xdr:spPr>
        <a:xfrm>
          <a:off x="0" y="11379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323850</xdr:colOff>
      <xdr:row>217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E1392FCE-FD5B-480F-A176-5C23CEDB2756}"/>
            </a:ext>
          </a:extLst>
        </xdr:cNvPr>
        <xdr:cNvSpPr/>
      </xdr:nvSpPr>
      <xdr:spPr>
        <a:xfrm>
          <a:off x="0" y="11747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230</xdr:row>
      <xdr:rowOff>177800</xdr:rowOff>
    </xdr:from>
    <xdr:to>
      <xdr:col>0</xdr:col>
      <xdr:colOff>330200</xdr:colOff>
      <xdr:row>232</xdr:row>
      <xdr:rowOff>114300</xdr:rowOff>
    </xdr:to>
    <xdr:sp macro="" textlink="">
      <xdr:nvSpPr>
        <xdr:cNvPr id="90" name="Frame 89">
          <a:extLst>
            <a:ext uri="{FF2B5EF4-FFF2-40B4-BE49-F238E27FC236}">
              <a16:creationId xmlns:a16="http://schemas.microsoft.com/office/drawing/2014/main" id="{CD3EFA36-CD6F-4954-ABF9-903BE9445A57}"/>
            </a:ext>
          </a:extLst>
        </xdr:cNvPr>
        <xdr:cNvSpPr/>
      </xdr:nvSpPr>
      <xdr:spPr>
        <a:xfrm>
          <a:off x="6350" y="2719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323850</xdr:colOff>
      <xdr:row>234</xdr:row>
      <xdr:rowOff>120650</xdr:rowOff>
    </xdr:to>
    <xdr:sp macro="" textlink="">
      <xdr:nvSpPr>
        <xdr:cNvPr id="91" name="Frame 90">
          <a:extLst>
            <a:ext uri="{FF2B5EF4-FFF2-40B4-BE49-F238E27FC236}">
              <a16:creationId xmlns:a16="http://schemas.microsoft.com/office/drawing/2014/main" id="{8CE72273-B5E9-4D95-B369-569EEB26AF2A}"/>
            </a:ext>
          </a:extLst>
        </xdr:cNvPr>
        <xdr:cNvSpPr/>
      </xdr:nvSpPr>
      <xdr:spPr>
        <a:xfrm>
          <a:off x="0" y="27565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0</xdr:col>
      <xdr:colOff>323850</xdr:colOff>
      <xdr:row>236</xdr:row>
      <xdr:rowOff>120650</xdr:rowOff>
    </xdr:to>
    <xdr:sp macro="" textlink="">
      <xdr:nvSpPr>
        <xdr:cNvPr id="92" name="Frame 91">
          <a:extLst>
            <a:ext uri="{FF2B5EF4-FFF2-40B4-BE49-F238E27FC236}">
              <a16:creationId xmlns:a16="http://schemas.microsoft.com/office/drawing/2014/main" id="{10073657-5F7F-482C-9284-895CDCE7528F}"/>
            </a:ext>
          </a:extLst>
        </xdr:cNvPr>
        <xdr:cNvSpPr/>
      </xdr:nvSpPr>
      <xdr:spPr>
        <a:xfrm>
          <a:off x="0" y="27933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323850</xdr:colOff>
      <xdr:row>238</xdr:row>
      <xdr:rowOff>120650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25D3FC3E-23EE-404A-B203-EB3E83ED8B48}"/>
            </a:ext>
          </a:extLst>
        </xdr:cNvPr>
        <xdr:cNvSpPr/>
      </xdr:nvSpPr>
      <xdr:spPr>
        <a:xfrm>
          <a:off x="0" y="28301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0</xdr:col>
      <xdr:colOff>323850</xdr:colOff>
      <xdr:row>240</xdr:row>
      <xdr:rowOff>120650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A48614F2-76B5-4ADE-A80D-00354789A60D}"/>
            </a:ext>
          </a:extLst>
        </xdr:cNvPr>
        <xdr:cNvSpPr/>
      </xdr:nvSpPr>
      <xdr:spPr>
        <a:xfrm>
          <a:off x="0" y="28670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0</xdr:col>
      <xdr:colOff>323850</xdr:colOff>
      <xdr:row>242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0296751E-7598-4F07-9446-41EF39E3E368}"/>
            </a:ext>
          </a:extLst>
        </xdr:cNvPr>
        <xdr:cNvSpPr/>
      </xdr:nvSpPr>
      <xdr:spPr>
        <a:xfrm>
          <a:off x="0" y="29038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0</xdr:col>
      <xdr:colOff>323850</xdr:colOff>
      <xdr:row>244</xdr:row>
      <xdr:rowOff>120650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E098382E-76E4-4568-9E45-5563F60737C8}"/>
            </a:ext>
          </a:extLst>
        </xdr:cNvPr>
        <xdr:cNvSpPr/>
      </xdr:nvSpPr>
      <xdr:spPr>
        <a:xfrm>
          <a:off x="0" y="29406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323850</xdr:colOff>
      <xdr:row>246</xdr:row>
      <xdr:rowOff>120650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ECFD53DD-948B-47C3-9E6F-11CC1D93A290}"/>
            </a:ext>
          </a:extLst>
        </xdr:cNvPr>
        <xdr:cNvSpPr/>
      </xdr:nvSpPr>
      <xdr:spPr>
        <a:xfrm>
          <a:off x="0" y="4632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323850</xdr:colOff>
      <xdr:row>248</xdr:row>
      <xdr:rowOff>120650</xdr:rowOff>
    </xdr:to>
    <xdr:sp macro="" textlink="">
      <xdr:nvSpPr>
        <xdr:cNvPr id="99" name="Frame 98">
          <a:extLst>
            <a:ext uri="{FF2B5EF4-FFF2-40B4-BE49-F238E27FC236}">
              <a16:creationId xmlns:a16="http://schemas.microsoft.com/office/drawing/2014/main" id="{EFDC5531-C85B-4FF0-9E43-B136E15B992A}"/>
            </a:ext>
          </a:extLst>
        </xdr:cNvPr>
        <xdr:cNvSpPr/>
      </xdr:nvSpPr>
      <xdr:spPr>
        <a:xfrm>
          <a:off x="0" y="4669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0</xdr:col>
      <xdr:colOff>323850</xdr:colOff>
      <xdr:row>250</xdr:row>
      <xdr:rowOff>120650</xdr:rowOff>
    </xdr:to>
    <xdr:sp macro="" textlink="">
      <xdr:nvSpPr>
        <xdr:cNvPr id="100" name="Frame 99">
          <a:extLst>
            <a:ext uri="{FF2B5EF4-FFF2-40B4-BE49-F238E27FC236}">
              <a16:creationId xmlns:a16="http://schemas.microsoft.com/office/drawing/2014/main" id="{F990BB9A-3333-4807-8F29-007C199F7252}"/>
            </a:ext>
          </a:extLst>
        </xdr:cNvPr>
        <xdr:cNvSpPr/>
      </xdr:nvSpPr>
      <xdr:spPr>
        <a:xfrm>
          <a:off x="0" y="4706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323850</xdr:colOff>
      <xdr:row>252</xdr:row>
      <xdr:rowOff>120650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06E73B2C-025F-4B80-BD4B-DD55824DC6C4}"/>
            </a:ext>
          </a:extLst>
        </xdr:cNvPr>
        <xdr:cNvSpPr/>
      </xdr:nvSpPr>
      <xdr:spPr>
        <a:xfrm>
          <a:off x="0" y="4743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265</xdr:row>
      <xdr:rowOff>177800</xdr:rowOff>
    </xdr:from>
    <xdr:to>
      <xdr:col>0</xdr:col>
      <xdr:colOff>330200</xdr:colOff>
      <xdr:row>267</xdr:row>
      <xdr:rowOff>114300</xdr:rowOff>
    </xdr:to>
    <xdr:sp macro="" textlink="">
      <xdr:nvSpPr>
        <xdr:cNvPr id="102" name="Frame 101">
          <a:extLst>
            <a:ext uri="{FF2B5EF4-FFF2-40B4-BE49-F238E27FC236}">
              <a16:creationId xmlns:a16="http://schemas.microsoft.com/office/drawing/2014/main" id="{E62E909F-0E0E-42B1-9102-6A09F0735B8A}"/>
            </a:ext>
          </a:extLst>
        </xdr:cNvPr>
        <xdr:cNvSpPr/>
      </xdr:nvSpPr>
      <xdr:spPr>
        <a:xfrm>
          <a:off x="6350" y="4374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0</xdr:col>
      <xdr:colOff>323850</xdr:colOff>
      <xdr:row>269</xdr:row>
      <xdr:rowOff>120650</xdr:rowOff>
    </xdr:to>
    <xdr:sp macro="" textlink="">
      <xdr:nvSpPr>
        <xdr:cNvPr id="103" name="Frame 102">
          <a:extLst>
            <a:ext uri="{FF2B5EF4-FFF2-40B4-BE49-F238E27FC236}">
              <a16:creationId xmlns:a16="http://schemas.microsoft.com/office/drawing/2014/main" id="{259F76C9-9557-4DDB-84C0-067883587369}"/>
            </a:ext>
          </a:extLst>
        </xdr:cNvPr>
        <xdr:cNvSpPr/>
      </xdr:nvSpPr>
      <xdr:spPr>
        <a:xfrm>
          <a:off x="0" y="4411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270</xdr:row>
      <xdr:rowOff>0</xdr:rowOff>
    </xdr:from>
    <xdr:to>
      <xdr:col>0</xdr:col>
      <xdr:colOff>323850</xdr:colOff>
      <xdr:row>271</xdr:row>
      <xdr:rowOff>120650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74EE0E9E-CA23-4434-977F-00C96D15FEC0}"/>
            </a:ext>
          </a:extLst>
        </xdr:cNvPr>
        <xdr:cNvSpPr/>
      </xdr:nvSpPr>
      <xdr:spPr>
        <a:xfrm>
          <a:off x="0" y="4448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42EF786D-1130-43E6-B5F6-600244AB7737}"/>
            </a:ext>
          </a:extLst>
        </xdr:cNvPr>
        <xdr:cNvSpPr/>
      </xdr:nvSpPr>
      <xdr:spPr>
        <a:xfrm>
          <a:off x="0" y="4485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323850</xdr:colOff>
      <xdr:row>275</xdr:row>
      <xdr:rowOff>120650</xdr:rowOff>
    </xdr:to>
    <xdr:sp macro="" textlink="">
      <xdr:nvSpPr>
        <xdr:cNvPr id="106" name="Frame 105">
          <a:extLst>
            <a:ext uri="{FF2B5EF4-FFF2-40B4-BE49-F238E27FC236}">
              <a16:creationId xmlns:a16="http://schemas.microsoft.com/office/drawing/2014/main" id="{38C5B930-0566-40AF-8C1C-2A20720BB630}"/>
            </a:ext>
          </a:extLst>
        </xdr:cNvPr>
        <xdr:cNvSpPr/>
      </xdr:nvSpPr>
      <xdr:spPr>
        <a:xfrm>
          <a:off x="0" y="4522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288</xdr:row>
      <xdr:rowOff>177800</xdr:rowOff>
    </xdr:from>
    <xdr:to>
      <xdr:col>0</xdr:col>
      <xdr:colOff>330200</xdr:colOff>
      <xdr:row>290</xdr:row>
      <xdr:rowOff>114300</xdr:rowOff>
    </xdr:to>
    <xdr:sp macro="" textlink="">
      <xdr:nvSpPr>
        <xdr:cNvPr id="113" name="Frame 112">
          <a:extLst>
            <a:ext uri="{FF2B5EF4-FFF2-40B4-BE49-F238E27FC236}">
              <a16:creationId xmlns:a16="http://schemas.microsoft.com/office/drawing/2014/main" id="{48CC981E-A88D-4FD2-B7D9-529C9EA47DD4}"/>
            </a:ext>
          </a:extLst>
        </xdr:cNvPr>
        <xdr:cNvSpPr/>
      </xdr:nvSpPr>
      <xdr:spPr>
        <a:xfrm>
          <a:off x="6350" y="4374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0</xdr:col>
      <xdr:colOff>323850</xdr:colOff>
      <xdr:row>292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CB8918C4-10DC-4BCF-9E1A-FEA0C30E4822}"/>
            </a:ext>
          </a:extLst>
        </xdr:cNvPr>
        <xdr:cNvSpPr/>
      </xdr:nvSpPr>
      <xdr:spPr>
        <a:xfrm>
          <a:off x="0" y="4411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323850</xdr:colOff>
      <xdr:row>294</xdr:row>
      <xdr:rowOff>120650</xdr:rowOff>
    </xdr:to>
    <xdr:sp macro="" textlink="">
      <xdr:nvSpPr>
        <xdr:cNvPr id="115" name="Frame 114">
          <a:extLst>
            <a:ext uri="{FF2B5EF4-FFF2-40B4-BE49-F238E27FC236}">
              <a16:creationId xmlns:a16="http://schemas.microsoft.com/office/drawing/2014/main" id="{96BA8CAF-D861-459B-BB67-AC7571A1BB76}"/>
            </a:ext>
          </a:extLst>
        </xdr:cNvPr>
        <xdr:cNvSpPr/>
      </xdr:nvSpPr>
      <xdr:spPr>
        <a:xfrm>
          <a:off x="0" y="4448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323850</xdr:colOff>
      <xdr:row>296</xdr:row>
      <xdr:rowOff>120650</xdr:rowOff>
    </xdr:to>
    <xdr:sp macro="" textlink="">
      <xdr:nvSpPr>
        <xdr:cNvPr id="116" name="Frame 115">
          <a:extLst>
            <a:ext uri="{FF2B5EF4-FFF2-40B4-BE49-F238E27FC236}">
              <a16:creationId xmlns:a16="http://schemas.microsoft.com/office/drawing/2014/main" id="{70E8F4B4-4AE8-4DD4-A5DF-DD94638F91CD}"/>
            </a:ext>
          </a:extLst>
        </xdr:cNvPr>
        <xdr:cNvSpPr/>
      </xdr:nvSpPr>
      <xdr:spPr>
        <a:xfrm>
          <a:off x="0" y="4485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297</xdr:row>
      <xdr:rowOff>0</xdr:rowOff>
    </xdr:from>
    <xdr:to>
      <xdr:col>0</xdr:col>
      <xdr:colOff>323850</xdr:colOff>
      <xdr:row>298</xdr:row>
      <xdr:rowOff>120650</xdr:rowOff>
    </xdr:to>
    <xdr:sp macro="" textlink="">
      <xdr:nvSpPr>
        <xdr:cNvPr id="117" name="Frame 116">
          <a:extLst>
            <a:ext uri="{FF2B5EF4-FFF2-40B4-BE49-F238E27FC236}">
              <a16:creationId xmlns:a16="http://schemas.microsoft.com/office/drawing/2014/main" id="{9C3907CE-D5CA-4155-AAD8-F39CB7D19775}"/>
            </a:ext>
          </a:extLst>
        </xdr:cNvPr>
        <xdr:cNvSpPr/>
      </xdr:nvSpPr>
      <xdr:spPr>
        <a:xfrm>
          <a:off x="0" y="4522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323850</xdr:colOff>
      <xdr:row>300</xdr:row>
      <xdr:rowOff>120650</xdr:rowOff>
    </xdr:to>
    <xdr:sp macro="" textlink="">
      <xdr:nvSpPr>
        <xdr:cNvPr id="118" name="Frame 117">
          <a:extLst>
            <a:ext uri="{FF2B5EF4-FFF2-40B4-BE49-F238E27FC236}">
              <a16:creationId xmlns:a16="http://schemas.microsoft.com/office/drawing/2014/main" id="{93B42FDA-48AB-4C9A-966F-ACE16CF93487}"/>
            </a:ext>
          </a:extLst>
        </xdr:cNvPr>
        <xdr:cNvSpPr/>
      </xdr:nvSpPr>
      <xdr:spPr>
        <a:xfrm>
          <a:off x="0" y="4559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301</xdr:row>
      <xdr:rowOff>0</xdr:rowOff>
    </xdr:from>
    <xdr:to>
      <xdr:col>0</xdr:col>
      <xdr:colOff>323850</xdr:colOff>
      <xdr:row>302</xdr:row>
      <xdr:rowOff>120650</xdr:rowOff>
    </xdr:to>
    <xdr:sp macro="" textlink="">
      <xdr:nvSpPr>
        <xdr:cNvPr id="119" name="Frame 118">
          <a:extLst>
            <a:ext uri="{FF2B5EF4-FFF2-40B4-BE49-F238E27FC236}">
              <a16:creationId xmlns:a16="http://schemas.microsoft.com/office/drawing/2014/main" id="{C5506261-26AA-4B7D-8832-58CD57E2EBF4}"/>
            </a:ext>
          </a:extLst>
        </xdr:cNvPr>
        <xdr:cNvSpPr/>
      </xdr:nvSpPr>
      <xdr:spPr>
        <a:xfrm>
          <a:off x="0" y="4596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312</xdr:row>
      <xdr:rowOff>177800</xdr:rowOff>
    </xdr:from>
    <xdr:to>
      <xdr:col>0</xdr:col>
      <xdr:colOff>330200</xdr:colOff>
      <xdr:row>314</xdr:row>
      <xdr:rowOff>114300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EE693FDC-D4D3-4F14-A46B-03FBD3E59484}"/>
            </a:ext>
          </a:extLst>
        </xdr:cNvPr>
        <xdr:cNvSpPr/>
      </xdr:nvSpPr>
      <xdr:spPr>
        <a:xfrm>
          <a:off x="6350" y="43745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0</xdr:col>
      <xdr:colOff>323850</xdr:colOff>
      <xdr:row>316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EBCDF63D-5097-4569-99FB-642359194F4B}"/>
            </a:ext>
          </a:extLst>
        </xdr:cNvPr>
        <xdr:cNvSpPr/>
      </xdr:nvSpPr>
      <xdr:spPr>
        <a:xfrm>
          <a:off x="0" y="44119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0</xdr:col>
      <xdr:colOff>323850</xdr:colOff>
      <xdr:row>318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E7D7AAE1-F4DD-4553-A65C-8DBD792CE6D7}"/>
            </a:ext>
          </a:extLst>
        </xdr:cNvPr>
        <xdr:cNvSpPr/>
      </xdr:nvSpPr>
      <xdr:spPr>
        <a:xfrm>
          <a:off x="0" y="44488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0</xdr:col>
      <xdr:colOff>323850</xdr:colOff>
      <xdr:row>320</xdr:row>
      <xdr:rowOff>120650</xdr:rowOff>
    </xdr:to>
    <xdr:sp macro="" textlink="">
      <xdr:nvSpPr>
        <xdr:cNvPr id="127" name="Frame 126">
          <a:extLst>
            <a:ext uri="{FF2B5EF4-FFF2-40B4-BE49-F238E27FC236}">
              <a16:creationId xmlns:a16="http://schemas.microsoft.com/office/drawing/2014/main" id="{8129A1FD-C29A-41D5-B271-1B2375B4D441}"/>
            </a:ext>
          </a:extLst>
        </xdr:cNvPr>
        <xdr:cNvSpPr/>
      </xdr:nvSpPr>
      <xdr:spPr>
        <a:xfrm>
          <a:off x="0" y="44856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323850</xdr:colOff>
      <xdr:row>322</xdr:row>
      <xdr:rowOff>120650</xdr:rowOff>
    </xdr:to>
    <xdr:sp macro="" textlink="">
      <xdr:nvSpPr>
        <xdr:cNvPr id="128" name="Frame 127">
          <a:extLst>
            <a:ext uri="{FF2B5EF4-FFF2-40B4-BE49-F238E27FC236}">
              <a16:creationId xmlns:a16="http://schemas.microsoft.com/office/drawing/2014/main" id="{EC5527C4-0514-468A-81F4-E30F21CBEAF9}"/>
            </a:ext>
          </a:extLst>
        </xdr:cNvPr>
        <xdr:cNvSpPr/>
      </xdr:nvSpPr>
      <xdr:spPr>
        <a:xfrm>
          <a:off x="0" y="45224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323</xdr:row>
      <xdr:rowOff>0</xdr:rowOff>
    </xdr:from>
    <xdr:to>
      <xdr:col>0</xdr:col>
      <xdr:colOff>323850</xdr:colOff>
      <xdr:row>324</xdr:row>
      <xdr:rowOff>120650</xdr:rowOff>
    </xdr:to>
    <xdr:sp macro="" textlink="">
      <xdr:nvSpPr>
        <xdr:cNvPr id="129" name="Frame 128">
          <a:extLst>
            <a:ext uri="{FF2B5EF4-FFF2-40B4-BE49-F238E27FC236}">
              <a16:creationId xmlns:a16="http://schemas.microsoft.com/office/drawing/2014/main" id="{794ACAF2-5499-4947-9703-74A01C6983CF}"/>
            </a:ext>
          </a:extLst>
        </xdr:cNvPr>
        <xdr:cNvSpPr/>
      </xdr:nvSpPr>
      <xdr:spPr>
        <a:xfrm>
          <a:off x="0" y="45593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0</xdr:col>
      <xdr:colOff>323850</xdr:colOff>
      <xdr:row>326</xdr:row>
      <xdr:rowOff>120650</xdr:rowOff>
    </xdr:to>
    <xdr:sp macro="" textlink="">
      <xdr:nvSpPr>
        <xdr:cNvPr id="130" name="Frame 129">
          <a:extLst>
            <a:ext uri="{FF2B5EF4-FFF2-40B4-BE49-F238E27FC236}">
              <a16:creationId xmlns:a16="http://schemas.microsoft.com/office/drawing/2014/main" id="{D6F7F76B-BBB1-4BCB-AF26-4E4D0AA6DD97}"/>
            </a:ext>
          </a:extLst>
        </xdr:cNvPr>
        <xdr:cNvSpPr/>
      </xdr:nvSpPr>
      <xdr:spPr>
        <a:xfrm>
          <a:off x="0" y="4596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327</xdr:row>
      <xdr:rowOff>0</xdr:rowOff>
    </xdr:from>
    <xdr:to>
      <xdr:col>0</xdr:col>
      <xdr:colOff>323850</xdr:colOff>
      <xdr:row>328</xdr:row>
      <xdr:rowOff>120650</xdr:rowOff>
    </xdr:to>
    <xdr:sp macro="" textlink="">
      <xdr:nvSpPr>
        <xdr:cNvPr id="131" name="Frame 130">
          <a:extLst>
            <a:ext uri="{FF2B5EF4-FFF2-40B4-BE49-F238E27FC236}">
              <a16:creationId xmlns:a16="http://schemas.microsoft.com/office/drawing/2014/main" id="{FB26E66E-4225-449C-A854-6B4A71B1B355}"/>
            </a:ext>
          </a:extLst>
        </xdr:cNvPr>
        <xdr:cNvSpPr/>
      </xdr:nvSpPr>
      <xdr:spPr>
        <a:xfrm>
          <a:off x="0" y="46329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0</xdr:col>
      <xdr:colOff>323850</xdr:colOff>
      <xdr:row>330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F68FA192-65DE-44EE-97B6-E17EEE0B4F94}"/>
            </a:ext>
          </a:extLst>
        </xdr:cNvPr>
        <xdr:cNvSpPr/>
      </xdr:nvSpPr>
      <xdr:spPr>
        <a:xfrm>
          <a:off x="0" y="46697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331</xdr:row>
      <xdr:rowOff>0</xdr:rowOff>
    </xdr:from>
    <xdr:to>
      <xdr:col>0</xdr:col>
      <xdr:colOff>323850</xdr:colOff>
      <xdr:row>332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7CFF6712-172D-418D-8C31-18ADEF689641}"/>
            </a:ext>
          </a:extLst>
        </xdr:cNvPr>
        <xdr:cNvSpPr/>
      </xdr:nvSpPr>
      <xdr:spPr>
        <a:xfrm>
          <a:off x="0" y="47066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333</xdr:row>
      <xdr:rowOff>0</xdr:rowOff>
    </xdr:from>
    <xdr:to>
      <xdr:col>0</xdr:col>
      <xdr:colOff>323850</xdr:colOff>
      <xdr:row>334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ACFED759-3686-4101-A40D-462296A1B31F}"/>
            </a:ext>
          </a:extLst>
        </xdr:cNvPr>
        <xdr:cNvSpPr/>
      </xdr:nvSpPr>
      <xdr:spPr>
        <a:xfrm>
          <a:off x="0" y="47434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344</xdr:row>
      <xdr:rowOff>177800</xdr:rowOff>
    </xdr:from>
    <xdr:to>
      <xdr:col>0</xdr:col>
      <xdr:colOff>330200</xdr:colOff>
      <xdr:row>346</xdr:row>
      <xdr:rowOff>114300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E8ACD98E-AE2A-4F08-972D-5431C4798390}"/>
            </a:ext>
          </a:extLst>
        </xdr:cNvPr>
        <xdr:cNvSpPr/>
      </xdr:nvSpPr>
      <xdr:spPr>
        <a:xfrm>
          <a:off x="6350" y="59931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347</xdr:row>
      <xdr:rowOff>0</xdr:rowOff>
    </xdr:from>
    <xdr:to>
      <xdr:col>0</xdr:col>
      <xdr:colOff>323850</xdr:colOff>
      <xdr:row>348</xdr:row>
      <xdr:rowOff>120650</xdr:rowOff>
    </xdr:to>
    <xdr:sp macro="" textlink="">
      <xdr:nvSpPr>
        <xdr:cNvPr id="136" name="Frame 135">
          <a:extLst>
            <a:ext uri="{FF2B5EF4-FFF2-40B4-BE49-F238E27FC236}">
              <a16:creationId xmlns:a16="http://schemas.microsoft.com/office/drawing/2014/main" id="{ED21B574-53B6-469D-9740-7F085848F6FE}"/>
            </a:ext>
          </a:extLst>
        </xdr:cNvPr>
        <xdr:cNvSpPr/>
      </xdr:nvSpPr>
      <xdr:spPr>
        <a:xfrm>
          <a:off x="0" y="6030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323850</xdr:colOff>
      <xdr:row>350</xdr:row>
      <xdr:rowOff>120650</xdr:rowOff>
    </xdr:to>
    <xdr:sp macro="" textlink="">
      <xdr:nvSpPr>
        <xdr:cNvPr id="137" name="Frame 136">
          <a:extLst>
            <a:ext uri="{FF2B5EF4-FFF2-40B4-BE49-F238E27FC236}">
              <a16:creationId xmlns:a16="http://schemas.microsoft.com/office/drawing/2014/main" id="{4C90FEB8-2BF3-4F9F-80FC-1487378C15A3}"/>
            </a:ext>
          </a:extLst>
        </xdr:cNvPr>
        <xdr:cNvSpPr/>
      </xdr:nvSpPr>
      <xdr:spPr>
        <a:xfrm>
          <a:off x="0" y="6067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0</xdr:col>
      <xdr:colOff>323850</xdr:colOff>
      <xdr:row>352</xdr:row>
      <xdr:rowOff>120650</xdr:rowOff>
    </xdr:to>
    <xdr:sp macro="" textlink="">
      <xdr:nvSpPr>
        <xdr:cNvPr id="138" name="Frame 137">
          <a:extLst>
            <a:ext uri="{FF2B5EF4-FFF2-40B4-BE49-F238E27FC236}">
              <a16:creationId xmlns:a16="http://schemas.microsoft.com/office/drawing/2014/main" id="{924D5BA7-2159-43CD-945D-A0CAFC92E324}"/>
            </a:ext>
          </a:extLst>
        </xdr:cNvPr>
        <xdr:cNvSpPr/>
      </xdr:nvSpPr>
      <xdr:spPr>
        <a:xfrm>
          <a:off x="0" y="6104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0</xdr:col>
      <xdr:colOff>323850</xdr:colOff>
      <xdr:row>354</xdr:row>
      <xdr:rowOff>120650</xdr:rowOff>
    </xdr:to>
    <xdr:sp macro="" textlink="">
      <xdr:nvSpPr>
        <xdr:cNvPr id="139" name="Frame 138">
          <a:extLst>
            <a:ext uri="{FF2B5EF4-FFF2-40B4-BE49-F238E27FC236}">
              <a16:creationId xmlns:a16="http://schemas.microsoft.com/office/drawing/2014/main" id="{2311F954-58F2-41C7-9E62-0277E70EB4EE}"/>
            </a:ext>
          </a:extLst>
        </xdr:cNvPr>
        <xdr:cNvSpPr/>
      </xdr:nvSpPr>
      <xdr:spPr>
        <a:xfrm>
          <a:off x="0" y="61410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0</xdr:col>
      <xdr:colOff>323850</xdr:colOff>
      <xdr:row>356</xdr:row>
      <xdr:rowOff>120650</xdr:rowOff>
    </xdr:to>
    <xdr:sp macro="" textlink="">
      <xdr:nvSpPr>
        <xdr:cNvPr id="140" name="Frame 139">
          <a:extLst>
            <a:ext uri="{FF2B5EF4-FFF2-40B4-BE49-F238E27FC236}">
              <a16:creationId xmlns:a16="http://schemas.microsoft.com/office/drawing/2014/main" id="{D908EBBC-349E-4999-A5F4-E83CAC630488}"/>
            </a:ext>
          </a:extLst>
        </xdr:cNvPr>
        <xdr:cNvSpPr/>
      </xdr:nvSpPr>
      <xdr:spPr>
        <a:xfrm>
          <a:off x="0" y="61779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0</xdr:col>
      <xdr:colOff>323850</xdr:colOff>
      <xdr:row>358</xdr:row>
      <xdr:rowOff>120650</xdr:rowOff>
    </xdr:to>
    <xdr:sp macro="" textlink="">
      <xdr:nvSpPr>
        <xdr:cNvPr id="141" name="Frame 140">
          <a:extLst>
            <a:ext uri="{FF2B5EF4-FFF2-40B4-BE49-F238E27FC236}">
              <a16:creationId xmlns:a16="http://schemas.microsoft.com/office/drawing/2014/main" id="{F3E48666-406B-4791-98A5-DF92A21081F2}"/>
            </a:ext>
          </a:extLst>
        </xdr:cNvPr>
        <xdr:cNvSpPr/>
      </xdr:nvSpPr>
      <xdr:spPr>
        <a:xfrm>
          <a:off x="0" y="62147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371</xdr:row>
      <xdr:rowOff>177800</xdr:rowOff>
    </xdr:from>
    <xdr:to>
      <xdr:col>0</xdr:col>
      <xdr:colOff>330200</xdr:colOff>
      <xdr:row>373</xdr:row>
      <xdr:rowOff>114300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250D498F-B6E5-4314-91AF-72832B250586}"/>
            </a:ext>
          </a:extLst>
        </xdr:cNvPr>
        <xdr:cNvSpPr/>
      </xdr:nvSpPr>
      <xdr:spPr>
        <a:xfrm>
          <a:off x="6350" y="66554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374</xdr:row>
      <xdr:rowOff>0</xdr:rowOff>
    </xdr:from>
    <xdr:to>
      <xdr:col>0</xdr:col>
      <xdr:colOff>323850</xdr:colOff>
      <xdr:row>375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A5FAC469-0D67-4A40-80BF-97070F78AB86}"/>
            </a:ext>
          </a:extLst>
        </xdr:cNvPr>
        <xdr:cNvSpPr/>
      </xdr:nvSpPr>
      <xdr:spPr>
        <a:xfrm>
          <a:off x="0" y="6692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0</xdr:col>
      <xdr:colOff>323850</xdr:colOff>
      <xdr:row>377</xdr:row>
      <xdr:rowOff>120650</xdr:rowOff>
    </xdr:to>
    <xdr:sp macro="" textlink="">
      <xdr:nvSpPr>
        <xdr:cNvPr id="148" name="Frame 147">
          <a:extLst>
            <a:ext uri="{FF2B5EF4-FFF2-40B4-BE49-F238E27FC236}">
              <a16:creationId xmlns:a16="http://schemas.microsoft.com/office/drawing/2014/main" id="{49E8DC36-95D7-4A11-9A82-448F2844B036}"/>
            </a:ext>
          </a:extLst>
        </xdr:cNvPr>
        <xdr:cNvSpPr/>
      </xdr:nvSpPr>
      <xdr:spPr>
        <a:xfrm>
          <a:off x="0" y="6729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0</xdr:col>
      <xdr:colOff>323850</xdr:colOff>
      <xdr:row>379</xdr:row>
      <xdr:rowOff>120650</xdr:rowOff>
    </xdr:to>
    <xdr:sp macro="" textlink="">
      <xdr:nvSpPr>
        <xdr:cNvPr id="149" name="Frame 148">
          <a:extLst>
            <a:ext uri="{FF2B5EF4-FFF2-40B4-BE49-F238E27FC236}">
              <a16:creationId xmlns:a16="http://schemas.microsoft.com/office/drawing/2014/main" id="{DFE81A95-D1BF-46AB-9620-2F88EFB6584F}"/>
            </a:ext>
          </a:extLst>
        </xdr:cNvPr>
        <xdr:cNvSpPr/>
      </xdr:nvSpPr>
      <xdr:spPr>
        <a:xfrm>
          <a:off x="0" y="6766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323850</xdr:colOff>
      <xdr:row>381</xdr:row>
      <xdr:rowOff>120650</xdr:rowOff>
    </xdr:to>
    <xdr:sp macro="" textlink="">
      <xdr:nvSpPr>
        <xdr:cNvPr id="150" name="Frame 149">
          <a:extLst>
            <a:ext uri="{FF2B5EF4-FFF2-40B4-BE49-F238E27FC236}">
              <a16:creationId xmlns:a16="http://schemas.microsoft.com/office/drawing/2014/main" id="{342EE288-0153-4CA1-B0F8-BDAC0A2A844E}"/>
            </a:ext>
          </a:extLst>
        </xdr:cNvPr>
        <xdr:cNvSpPr/>
      </xdr:nvSpPr>
      <xdr:spPr>
        <a:xfrm>
          <a:off x="0" y="6803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382</xdr:row>
      <xdr:rowOff>0</xdr:rowOff>
    </xdr:from>
    <xdr:to>
      <xdr:col>0</xdr:col>
      <xdr:colOff>323850</xdr:colOff>
      <xdr:row>383</xdr:row>
      <xdr:rowOff>120650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4FF19B7B-5B01-474C-8D3B-02C0566540EC}"/>
            </a:ext>
          </a:extLst>
        </xdr:cNvPr>
        <xdr:cNvSpPr/>
      </xdr:nvSpPr>
      <xdr:spPr>
        <a:xfrm>
          <a:off x="0" y="6840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323850</xdr:colOff>
      <xdr:row>385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1758F6D1-03EA-4D1E-9770-6CEF9710E37D}"/>
            </a:ext>
          </a:extLst>
        </xdr:cNvPr>
        <xdr:cNvSpPr/>
      </xdr:nvSpPr>
      <xdr:spPr>
        <a:xfrm>
          <a:off x="0" y="7392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0</xdr:col>
      <xdr:colOff>323850</xdr:colOff>
      <xdr:row>387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1CA874D1-CABF-4C47-A415-D577A0BCE715}"/>
            </a:ext>
          </a:extLst>
        </xdr:cNvPr>
        <xdr:cNvSpPr/>
      </xdr:nvSpPr>
      <xdr:spPr>
        <a:xfrm>
          <a:off x="0" y="74288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400</xdr:row>
      <xdr:rowOff>177800</xdr:rowOff>
    </xdr:from>
    <xdr:to>
      <xdr:col>0</xdr:col>
      <xdr:colOff>330200</xdr:colOff>
      <xdr:row>402</xdr:row>
      <xdr:rowOff>114300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76177E07-C30A-4CD8-BA6F-48C50F47ACB0}"/>
            </a:ext>
          </a:extLst>
        </xdr:cNvPr>
        <xdr:cNvSpPr/>
      </xdr:nvSpPr>
      <xdr:spPr>
        <a:xfrm>
          <a:off x="6350" y="71704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0</xdr:col>
      <xdr:colOff>323850</xdr:colOff>
      <xdr:row>404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29BEEDA3-D81B-4A4B-ACBE-4412AB72F28D}"/>
            </a:ext>
          </a:extLst>
        </xdr:cNvPr>
        <xdr:cNvSpPr/>
      </xdr:nvSpPr>
      <xdr:spPr>
        <a:xfrm>
          <a:off x="0" y="7207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323850</xdr:colOff>
      <xdr:row>406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859834E8-CE37-4FB4-AC5F-DFA4B001D298}"/>
            </a:ext>
          </a:extLst>
        </xdr:cNvPr>
        <xdr:cNvSpPr/>
      </xdr:nvSpPr>
      <xdr:spPr>
        <a:xfrm>
          <a:off x="0" y="7244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323850</xdr:colOff>
      <xdr:row>408</xdr:row>
      <xdr:rowOff>120650</xdr:rowOff>
    </xdr:to>
    <xdr:sp macro="" textlink="">
      <xdr:nvSpPr>
        <xdr:cNvPr id="158" name="Frame 157">
          <a:extLst>
            <a:ext uri="{FF2B5EF4-FFF2-40B4-BE49-F238E27FC236}">
              <a16:creationId xmlns:a16="http://schemas.microsoft.com/office/drawing/2014/main" id="{DAF86B8E-1A58-46E8-BD6A-CD133041F068}"/>
            </a:ext>
          </a:extLst>
        </xdr:cNvPr>
        <xdr:cNvSpPr/>
      </xdr:nvSpPr>
      <xdr:spPr>
        <a:xfrm>
          <a:off x="0" y="7281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409</xdr:row>
      <xdr:rowOff>0</xdr:rowOff>
    </xdr:from>
    <xdr:to>
      <xdr:col>0</xdr:col>
      <xdr:colOff>323850</xdr:colOff>
      <xdr:row>410</xdr:row>
      <xdr:rowOff>120650</xdr:rowOff>
    </xdr:to>
    <xdr:sp macro="" textlink="">
      <xdr:nvSpPr>
        <xdr:cNvPr id="159" name="Frame 158">
          <a:extLst>
            <a:ext uri="{FF2B5EF4-FFF2-40B4-BE49-F238E27FC236}">
              <a16:creationId xmlns:a16="http://schemas.microsoft.com/office/drawing/2014/main" id="{F8DE3843-F9B2-4858-951E-03B55D62F927}"/>
            </a:ext>
          </a:extLst>
        </xdr:cNvPr>
        <xdr:cNvSpPr/>
      </xdr:nvSpPr>
      <xdr:spPr>
        <a:xfrm>
          <a:off x="0" y="7318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323850</xdr:colOff>
      <xdr:row>30</xdr:row>
      <xdr:rowOff>120650</xdr:rowOff>
    </xdr:to>
    <xdr:sp macro="" textlink="">
      <xdr:nvSpPr>
        <xdr:cNvPr id="123" name="Frame 122">
          <a:extLst>
            <a:ext uri="{FF2B5EF4-FFF2-40B4-BE49-F238E27FC236}">
              <a16:creationId xmlns:a16="http://schemas.microsoft.com/office/drawing/2014/main" id="{E49FF08A-006A-4BD7-A84A-13AFCDE051CF}"/>
            </a:ext>
          </a:extLst>
        </xdr:cNvPr>
        <xdr:cNvSpPr/>
      </xdr:nvSpPr>
      <xdr:spPr>
        <a:xfrm>
          <a:off x="0" y="5492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323850</xdr:colOff>
      <xdr:row>32</xdr:row>
      <xdr:rowOff>120650</xdr:rowOff>
    </xdr:to>
    <xdr:sp macro="" textlink="">
      <xdr:nvSpPr>
        <xdr:cNvPr id="142" name="Frame 141">
          <a:extLst>
            <a:ext uri="{FF2B5EF4-FFF2-40B4-BE49-F238E27FC236}">
              <a16:creationId xmlns:a16="http://schemas.microsoft.com/office/drawing/2014/main" id="{41CD122D-9294-4424-A70C-518EBB2D8103}"/>
            </a:ext>
          </a:extLst>
        </xdr:cNvPr>
        <xdr:cNvSpPr/>
      </xdr:nvSpPr>
      <xdr:spPr>
        <a:xfrm>
          <a:off x="0" y="5861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423</xdr:row>
      <xdr:rowOff>177800</xdr:rowOff>
    </xdr:from>
    <xdr:to>
      <xdr:col>0</xdr:col>
      <xdr:colOff>330200</xdr:colOff>
      <xdr:row>425</xdr:row>
      <xdr:rowOff>114300</xdr:rowOff>
    </xdr:to>
    <xdr:sp macro="" textlink="">
      <xdr:nvSpPr>
        <xdr:cNvPr id="143" name="Frame 142">
          <a:extLst>
            <a:ext uri="{FF2B5EF4-FFF2-40B4-BE49-F238E27FC236}">
              <a16:creationId xmlns:a16="http://schemas.microsoft.com/office/drawing/2014/main" id="{3F09AB7C-CFC7-41D5-A8F0-4C1BE8172DD2}"/>
            </a:ext>
          </a:extLst>
        </xdr:cNvPr>
        <xdr:cNvSpPr/>
      </xdr:nvSpPr>
      <xdr:spPr>
        <a:xfrm>
          <a:off x="6350" y="37858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426</xdr:row>
      <xdr:rowOff>0</xdr:rowOff>
    </xdr:from>
    <xdr:to>
      <xdr:col>0</xdr:col>
      <xdr:colOff>323850</xdr:colOff>
      <xdr:row>427</xdr:row>
      <xdr:rowOff>120650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B2E9202E-3057-4822-BDBA-5D362770301E}"/>
            </a:ext>
          </a:extLst>
        </xdr:cNvPr>
        <xdr:cNvSpPr/>
      </xdr:nvSpPr>
      <xdr:spPr>
        <a:xfrm>
          <a:off x="0" y="3823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323850</xdr:colOff>
      <xdr:row>429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D2050CB5-7317-4111-893E-C5E8B1D31F0C}"/>
            </a:ext>
          </a:extLst>
        </xdr:cNvPr>
        <xdr:cNvSpPr/>
      </xdr:nvSpPr>
      <xdr:spPr>
        <a:xfrm>
          <a:off x="0" y="3860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323850</xdr:colOff>
      <xdr:row>431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6584F688-8217-4B71-86FD-9EB70325042C}"/>
            </a:ext>
          </a:extLst>
        </xdr:cNvPr>
        <xdr:cNvSpPr/>
      </xdr:nvSpPr>
      <xdr:spPr>
        <a:xfrm>
          <a:off x="0" y="38969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432</xdr:row>
      <xdr:rowOff>0</xdr:rowOff>
    </xdr:from>
    <xdr:to>
      <xdr:col>0</xdr:col>
      <xdr:colOff>323850</xdr:colOff>
      <xdr:row>433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E0DA1FB0-8240-49A7-A591-7732A15D82F2}"/>
            </a:ext>
          </a:extLst>
        </xdr:cNvPr>
        <xdr:cNvSpPr/>
      </xdr:nvSpPr>
      <xdr:spPr>
        <a:xfrm>
          <a:off x="0" y="39338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434</xdr:row>
      <xdr:rowOff>0</xdr:rowOff>
    </xdr:from>
    <xdr:to>
      <xdr:col>0</xdr:col>
      <xdr:colOff>323850</xdr:colOff>
      <xdr:row>435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2B48A430-C5E5-44A0-8A59-DE98B501A86B}"/>
            </a:ext>
          </a:extLst>
        </xdr:cNvPr>
        <xdr:cNvSpPr/>
      </xdr:nvSpPr>
      <xdr:spPr>
        <a:xfrm>
          <a:off x="0" y="39706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436</xdr:row>
      <xdr:rowOff>0</xdr:rowOff>
    </xdr:from>
    <xdr:to>
      <xdr:col>0</xdr:col>
      <xdr:colOff>323850</xdr:colOff>
      <xdr:row>437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F3998178-2D16-4A75-82A6-F859C95832F4}"/>
            </a:ext>
          </a:extLst>
        </xdr:cNvPr>
        <xdr:cNvSpPr/>
      </xdr:nvSpPr>
      <xdr:spPr>
        <a:xfrm>
          <a:off x="0" y="40074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0</xdr:col>
      <xdr:colOff>323850</xdr:colOff>
      <xdr:row>439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7A5DF562-A81F-4847-A88A-847443786D2B}"/>
            </a:ext>
          </a:extLst>
        </xdr:cNvPr>
        <xdr:cNvSpPr/>
      </xdr:nvSpPr>
      <xdr:spPr>
        <a:xfrm>
          <a:off x="0" y="40443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0</xdr:col>
      <xdr:colOff>323850</xdr:colOff>
      <xdr:row>441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00C9C5BB-8160-4FC5-BE4F-B5F7813E755A}"/>
            </a:ext>
          </a:extLst>
        </xdr:cNvPr>
        <xdr:cNvSpPr/>
      </xdr:nvSpPr>
      <xdr:spPr>
        <a:xfrm>
          <a:off x="0" y="4081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6350</xdr:colOff>
      <xdr:row>454</xdr:row>
      <xdr:rowOff>177800</xdr:rowOff>
    </xdr:from>
    <xdr:to>
      <xdr:col>0</xdr:col>
      <xdr:colOff>330200</xdr:colOff>
      <xdr:row>456</xdr:row>
      <xdr:rowOff>114300</xdr:rowOff>
    </xdr:to>
    <xdr:sp macro="" textlink="">
      <xdr:nvSpPr>
        <xdr:cNvPr id="165" name="Frame 142">
          <a:extLst>
            <a:ext uri="{FF2B5EF4-FFF2-40B4-BE49-F238E27FC236}">
              <a16:creationId xmlns:a16="http://schemas.microsoft.com/office/drawing/2014/main" id="{73B6FCA4-62E3-4DA3-894E-02E5A6DF6F4E}"/>
            </a:ext>
            <a:ext uri="{147F2762-F138-4A5C-976F-8EAC2B608ADB}">
              <a16:predDERef xmlns:a16="http://schemas.microsoft.com/office/drawing/2014/main" pred="{00C9C5BB-8160-4FC5-BE4F-B5F7813E755A}"/>
            </a:ext>
          </a:extLst>
        </xdr:cNvPr>
        <xdr:cNvSpPr/>
      </xdr:nvSpPr>
      <xdr:spPr>
        <a:xfrm>
          <a:off x="6350" y="83492975"/>
          <a:ext cx="323850" cy="3175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457</xdr:row>
      <xdr:rowOff>0</xdr:rowOff>
    </xdr:from>
    <xdr:to>
      <xdr:col>0</xdr:col>
      <xdr:colOff>323850</xdr:colOff>
      <xdr:row>458</xdr:row>
      <xdr:rowOff>120650</xdr:rowOff>
    </xdr:to>
    <xdr:sp macro="" textlink="">
      <xdr:nvSpPr>
        <xdr:cNvPr id="166" name="Frame 143">
          <a:extLst>
            <a:ext uri="{FF2B5EF4-FFF2-40B4-BE49-F238E27FC236}">
              <a16:creationId xmlns:a16="http://schemas.microsoft.com/office/drawing/2014/main" id="{C1F3C828-C7D7-4C6E-A6A8-2975BBB69070}"/>
            </a:ext>
            <a:ext uri="{147F2762-F138-4A5C-976F-8EAC2B608ADB}">
              <a16:predDERef xmlns:a16="http://schemas.microsoft.com/office/drawing/2014/main" pred="{73B6FCA4-62E3-4DA3-894E-02E5A6DF6F4E}"/>
            </a:ext>
          </a:extLst>
        </xdr:cNvPr>
        <xdr:cNvSpPr/>
      </xdr:nvSpPr>
      <xdr:spPr>
        <a:xfrm>
          <a:off x="0" y="83886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323850</xdr:colOff>
      <xdr:row>460</xdr:row>
      <xdr:rowOff>120650</xdr:rowOff>
    </xdr:to>
    <xdr:sp macro="" textlink="">
      <xdr:nvSpPr>
        <xdr:cNvPr id="167" name="Frame 144">
          <a:extLst>
            <a:ext uri="{FF2B5EF4-FFF2-40B4-BE49-F238E27FC236}">
              <a16:creationId xmlns:a16="http://schemas.microsoft.com/office/drawing/2014/main" id="{304F41D9-E5E0-4D0E-83D3-FD9A585165B8}"/>
            </a:ext>
            <a:ext uri="{147F2762-F138-4A5C-976F-8EAC2B608ADB}">
              <a16:predDERef xmlns:a16="http://schemas.microsoft.com/office/drawing/2014/main" pred="{C1F3C828-C7D7-4C6E-A6A8-2975BBB69070}"/>
            </a:ext>
          </a:extLst>
        </xdr:cNvPr>
        <xdr:cNvSpPr/>
      </xdr:nvSpPr>
      <xdr:spPr>
        <a:xfrm>
          <a:off x="0" y="84267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461</xdr:row>
      <xdr:rowOff>0</xdr:rowOff>
    </xdr:from>
    <xdr:to>
      <xdr:col>0</xdr:col>
      <xdr:colOff>323850</xdr:colOff>
      <xdr:row>462</xdr:row>
      <xdr:rowOff>120650</xdr:rowOff>
    </xdr:to>
    <xdr:sp macro="" textlink="">
      <xdr:nvSpPr>
        <xdr:cNvPr id="168" name="Frame 151">
          <a:extLst>
            <a:ext uri="{FF2B5EF4-FFF2-40B4-BE49-F238E27FC236}">
              <a16:creationId xmlns:a16="http://schemas.microsoft.com/office/drawing/2014/main" id="{740927C7-BE55-446E-B75A-ABF9697B7B4F}"/>
            </a:ext>
            <a:ext uri="{147F2762-F138-4A5C-976F-8EAC2B608ADB}">
              <a16:predDERef xmlns:a16="http://schemas.microsoft.com/office/drawing/2014/main" pred="{304F41D9-E5E0-4D0E-83D3-FD9A585165B8}"/>
            </a:ext>
          </a:extLst>
        </xdr:cNvPr>
        <xdr:cNvSpPr/>
      </xdr:nvSpPr>
      <xdr:spPr>
        <a:xfrm>
          <a:off x="0" y="84648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0</xdr:col>
      <xdr:colOff>323850</xdr:colOff>
      <xdr:row>464</xdr:row>
      <xdr:rowOff>120650</xdr:rowOff>
    </xdr:to>
    <xdr:sp macro="" textlink="">
      <xdr:nvSpPr>
        <xdr:cNvPr id="169" name="Frame 159">
          <a:extLst>
            <a:ext uri="{FF2B5EF4-FFF2-40B4-BE49-F238E27FC236}">
              <a16:creationId xmlns:a16="http://schemas.microsoft.com/office/drawing/2014/main" id="{1EF73BAA-2050-4C1B-AF76-CE39F6EAF8AC}"/>
            </a:ext>
            <a:ext uri="{147F2762-F138-4A5C-976F-8EAC2B608ADB}">
              <a16:predDERef xmlns:a16="http://schemas.microsoft.com/office/drawing/2014/main" pred="{740927C7-BE55-446E-B75A-ABF9697B7B4F}"/>
            </a:ext>
          </a:extLst>
        </xdr:cNvPr>
        <xdr:cNvSpPr/>
      </xdr:nvSpPr>
      <xdr:spPr>
        <a:xfrm>
          <a:off x="0" y="85029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323850</xdr:colOff>
      <xdr:row>466</xdr:row>
      <xdr:rowOff>120650</xdr:rowOff>
    </xdr:to>
    <xdr:sp macro="" textlink="">
      <xdr:nvSpPr>
        <xdr:cNvPr id="170" name="Frame 160">
          <a:extLst>
            <a:ext uri="{FF2B5EF4-FFF2-40B4-BE49-F238E27FC236}">
              <a16:creationId xmlns:a16="http://schemas.microsoft.com/office/drawing/2014/main" id="{F1669260-4E25-4BBC-B618-3F8AB4567311}"/>
            </a:ext>
            <a:ext uri="{147F2762-F138-4A5C-976F-8EAC2B608ADB}">
              <a16:predDERef xmlns:a16="http://schemas.microsoft.com/office/drawing/2014/main" pred="{1EF73BAA-2050-4C1B-AF76-CE39F6EAF8AC}"/>
            </a:ext>
          </a:extLst>
        </xdr:cNvPr>
        <xdr:cNvSpPr/>
      </xdr:nvSpPr>
      <xdr:spPr>
        <a:xfrm>
          <a:off x="0" y="85410675"/>
          <a:ext cx="323850" cy="31115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1E61F2DA-D6A0-4145-AFD5-EE03520DB9AE}"/>
            </a:ext>
          </a:extLst>
        </xdr:cNvPr>
        <xdr:cNvSpPr/>
      </xdr:nvSpPr>
      <xdr:spPr>
        <a:xfrm>
          <a:off x="0" y="3996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3" name="Frame 2">
          <a:extLst>
            <a:ext uri="{FF2B5EF4-FFF2-40B4-BE49-F238E27FC236}">
              <a16:creationId xmlns:a16="http://schemas.microsoft.com/office/drawing/2014/main" id="{A5E0ACC2-F898-4B52-B4CF-CF56BB94E4CC}"/>
            </a:ext>
          </a:extLst>
        </xdr:cNvPr>
        <xdr:cNvSpPr/>
      </xdr:nvSpPr>
      <xdr:spPr>
        <a:xfrm>
          <a:off x="0" y="4033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EACA82DB-16F5-4EDA-8C3D-4EA9468BD4B2}"/>
            </a:ext>
          </a:extLst>
        </xdr:cNvPr>
        <xdr:cNvSpPr/>
      </xdr:nvSpPr>
      <xdr:spPr>
        <a:xfrm>
          <a:off x="0" y="4070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713FB29A-D6A9-420A-8EC2-261C82B25609}"/>
            </a:ext>
          </a:extLst>
        </xdr:cNvPr>
        <xdr:cNvSpPr/>
      </xdr:nvSpPr>
      <xdr:spPr>
        <a:xfrm>
          <a:off x="0" y="41071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3AE84476-C3AD-46EB-A0A2-77D0E22E6F80}"/>
            </a:ext>
          </a:extLst>
        </xdr:cNvPr>
        <xdr:cNvSpPr/>
      </xdr:nvSpPr>
      <xdr:spPr>
        <a:xfrm>
          <a:off x="0" y="41440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7" name="Frame 6">
          <a:extLst>
            <a:ext uri="{FF2B5EF4-FFF2-40B4-BE49-F238E27FC236}">
              <a16:creationId xmlns:a16="http://schemas.microsoft.com/office/drawing/2014/main" id="{3F6C8AA1-8DFC-4EA4-A930-C511C1B0E817}"/>
            </a:ext>
          </a:extLst>
        </xdr:cNvPr>
        <xdr:cNvSpPr/>
      </xdr:nvSpPr>
      <xdr:spPr>
        <a:xfrm>
          <a:off x="0" y="4180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323850</xdr:colOff>
      <xdr:row>6</xdr:row>
      <xdr:rowOff>120650</xdr:rowOff>
    </xdr:to>
    <xdr:sp macro="" textlink="">
      <xdr:nvSpPr>
        <xdr:cNvPr id="10" name="Frame 9">
          <a:extLst>
            <a:ext uri="{FF2B5EF4-FFF2-40B4-BE49-F238E27FC236}">
              <a16:creationId xmlns:a16="http://schemas.microsoft.com/office/drawing/2014/main" id="{983C60D7-3524-4660-99BB-C0744B34F152}"/>
            </a:ext>
          </a:extLst>
        </xdr:cNvPr>
        <xdr:cNvSpPr/>
      </xdr:nvSpPr>
      <xdr:spPr>
        <a:xfrm>
          <a:off x="0" y="39966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323850</xdr:colOff>
      <xdr:row>8</xdr:row>
      <xdr:rowOff>120650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AB41493B-9529-4C52-9556-E391C3F6A193}"/>
            </a:ext>
          </a:extLst>
        </xdr:cNvPr>
        <xdr:cNvSpPr/>
      </xdr:nvSpPr>
      <xdr:spPr>
        <a:xfrm>
          <a:off x="0" y="40335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323850</xdr:colOff>
      <xdr:row>10</xdr:row>
      <xdr:rowOff>120650</xdr:rowOff>
    </xdr:to>
    <xdr:sp macro="" textlink="">
      <xdr:nvSpPr>
        <xdr:cNvPr id="12" name="Frame 11">
          <a:extLst>
            <a:ext uri="{FF2B5EF4-FFF2-40B4-BE49-F238E27FC236}">
              <a16:creationId xmlns:a16="http://schemas.microsoft.com/office/drawing/2014/main" id="{924C390D-05A6-487E-9878-F2479C0AABDC}"/>
            </a:ext>
          </a:extLst>
        </xdr:cNvPr>
        <xdr:cNvSpPr/>
      </xdr:nvSpPr>
      <xdr:spPr>
        <a:xfrm>
          <a:off x="0" y="40703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323850</xdr:colOff>
      <xdr:row>12</xdr:row>
      <xdr:rowOff>120650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67771A65-60B3-4C59-95FD-3D3693DE7823}"/>
            </a:ext>
          </a:extLst>
        </xdr:cNvPr>
        <xdr:cNvSpPr/>
      </xdr:nvSpPr>
      <xdr:spPr>
        <a:xfrm>
          <a:off x="0" y="41071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323850</xdr:colOff>
      <xdr:row>14</xdr:row>
      <xdr:rowOff>120650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FC8BCAB7-3400-441C-AB3F-088A17F2F298}"/>
            </a:ext>
          </a:extLst>
        </xdr:cNvPr>
        <xdr:cNvSpPr/>
      </xdr:nvSpPr>
      <xdr:spPr>
        <a:xfrm>
          <a:off x="0" y="41440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16</xdr:row>
      <xdr:rowOff>120650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3447B742-2358-4084-9ADD-4E45577416AD}"/>
            </a:ext>
          </a:extLst>
        </xdr:cNvPr>
        <xdr:cNvSpPr/>
      </xdr:nvSpPr>
      <xdr:spPr>
        <a:xfrm>
          <a:off x="0" y="41808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323850</xdr:colOff>
      <xdr:row>27</xdr:row>
      <xdr:rowOff>120650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4D2B088B-7B27-46A6-9C83-CDB30D2DC3FC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323850</xdr:colOff>
      <xdr:row>29</xdr:row>
      <xdr:rowOff>120650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2FD39B75-2BD7-4B9C-A4AD-7BFD3021CE12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323850</xdr:colOff>
      <xdr:row>31</xdr:row>
      <xdr:rowOff>120650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2CBFA789-C942-46C6-A216-593E8D73CFE5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323850</xdr:colOff>
      <xdr:row>33</xdr:row>
      <xdr:rowOff>120650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39A32CDE-3F97-428F-9794-3B91EB59C0DB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323850</xdr:colOff>
      <xdr:row>35</xdr:row>
      <xdr:rowOff>120650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2C342899-40D8-48C5-B142-71A0DC71E77F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323850</xdr:colOff>
      <xdr:row>27</xdr:row>
      <xdr:rowOff>120650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ADE137DD-A885-4C06-9FCD-ECD9A1547916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323850</xdr:colOff>
      <xdr:row>29</xdr:row>
      <xdr:rowOff>120650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8A895CA4-1AF9-402A-A9DA-C63FC7F4D62F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323850</xdr:colOff>
      <xdr:row>31</xdr:row>
      <xdr:rowOff>120650</xdr:rowOff>
    </xdr:to>
    <xdr:sp macro="" textlink="">
      <xdr:nvSpPr>
        <xdr:cNvPr id="26" name="Frame 25">
          <a:extLst>
            <a:ext uri="{FF2B5EF4-FFF2-40B4-BE49-F238E27FC236}">
              <a16:creationId xmlns:a16="http://schemas.microsoft.com/office/drawing/2014/main" id="{EA58AFD9-87CF-4542-A0EB-3D21854F3A7B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323850</xdr:colOff>
      <xdr:row>33</xdr:row>
      <xdr:rowOff>120650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EF5FC05D-7854-471C-9884-1F8F9255E96D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323850</xdr:colOff>
      <xdr:row>35</xdr:row>
      <xdr:rowOff>120650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FC4F4B9F-7BA0-4D84-8AFC-F78315D7A1F0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323850</xdr:colOff>
      <xdr:row>46</xdr:row>
      <xdr:rowOff>120650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D3E82363-6E51-4134-9D39-F618FEDCE5AA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323850</xdr:colOff>
      <xdr:row>48</xdr:row>
      <xdr:rowOff>120650</xdr:rowOff>
    </xdr:to>
    <xdr:sp macro="" textlink="">
      <xdr:nvSpPr>
        <xdr:cNvPr id="30" name="Frame 29">
          <a:extLst>
            <a:ext uri="{FF2B5EF4-FFF2-40B4-BE49-F238E27FC236}">
              <a16:creationId xmlns:a16="http://schemas.microsoft.com/office/drawing/2014/main" id="{B15E272E-CED1-4A33-B194-E333B6A6442E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323850</xdr:colOff>
      <xdr:row>50</xdr:row>
      <xdr:rowOff>120650</xdr:rowOff>
    </xdr:to>
    <xdr:sp macro="" textlink="">
      <xdr:nvSpPr>
        <xdr:cNvPr id="31" name="Frame 30">
          <a:extLst>
            <a:ext uri="{FF2B5EF4-FFF2-40B4-BE49-F238E27FC236}">
              <a16:creationId xmlns:a16="http://schemas.microsoft.com/office/drawing/2014/main" id="{94FD9B95-1D51-4E3E-BF5A-C5F0C1A1985B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323850</xdr:colOff>
      <xdr:row>52</xdr:row>
      <xdr:rowOff>120650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B2392A4B-E281-4689-B819-9C76E7902DEB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323850</xdr:colOff>
      <xdr:row>54</xdr:row>
      <xdr:rowOff>120650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81CAB7F2-FAE2-4100-9FC6-E78E8482591F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323850</xdr:colOff>
      <xdr:row>46</xdr:row>
      <xdr:rowOff>120650</xdr:rowOff>
    </xdr:to>
    <xdr:sp macro="" textlink="">
      <xdr:nvSpPr>
        <xdr:cNvPr id="35" name="Frame 34">
          <a:extLst>
            <a:ext uri="{FF2B5EF4-FFF2-40B4-BE49-F238E27FC236}">
              <a16:creationId xmlns:a16="http://schemas.microsoft.com/office/drawing/2014/main" id="{D34C454E-25E5-42BF-AF9F-D8B0F1CA532A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323850</xdr:colOff>
      <xdr:row>48</xdr:row>
      <xdr:rowOff>120650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976C11D8-80CF-47E9-BC7B-6E051B6AD4F0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323850</xdr:colOff>
      <xdr:row>50</xdr:row>
      <xdr:rowOff>120650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8614CCD1-5786-4ACA-B87B-2BD02F29AAE4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323850</xdr:colOff>
      <xdr:row>52</xdr:row>
      <xdr:rowOff>120650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FF80365C-93F9-4C7D-85CD-FE37C51E1EB0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323850</xdr:colOff>
      <xdr:row>54</xdr:row>
      <xdr:rowOff>120650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5635FD8A-D343-4160-8FE5-7C22AB2B714D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323850</xdr:colOff>
      <xdr:row>69</xdr:row>
      <xdr:rowOff>120650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28BC9D0E-6EF6-4000-8101-8C21A571E680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323850</xdr:colOff>
      <xdr:row>71</xdr:row>
      <xdr:rowOff>120650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DF3F75C6-53D8-4ECD-82D2-38B92D8EB38B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323850</xdr:colOff>
      <xdr:row>73</xdr:row>
      <xdr:rowOff>120650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F712D9AF-AB26-4302-9C5E-FD2B27C3B5E7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323850</xdr:colOff>
      <xdr:row>75</xdr:row>
      <xdr:rowOff>120650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F12D6508-074E-4A87-99DF-E7D33FAD6088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323850</xdr:colOff>
      <xdr:row>77</xdr:row>
      <xdr:rowOff>120650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E1BD3D57-5C72-46C1-AF17-5F981B563F37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323850</xdr:colOff>
      <xdr:row>79</xdr:row>
      <xdr:rowOff>120650</xdr:rowOff>
    </xdr:to>
    <xdr:sp macro="" textlink="">
      <xdr:nvSpPr>
        <xdr:cNvPr id="46" name="Frame 45">
          <a:extLst>
            <a:ext uri="{FF2B5EF4-FFF2-40B4-BE49-F238E27FC236}">
              <a16:creationId xmlns:a16="http://schemas.microsoft.com/office/drawing/2014/main" id="{E897559D-468C-42ED-9762-F5E660B50B52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323850</xdr:colOff>
      <xdr:row>69</xdr:row>
      <xdr:rowOff>120650</xdr:rowOff>
    </xdr:to>
    <xdr:sp macro="" textlink="">
      <xdr:nvSpPr>
        <xdr:cNvPr id="47" name="Frame 46">
          <a:extLst>
            <a:ext uri="{FF2B5EF4-FFF2-40B4-BE49-F238E27FC236}">
              <a16:creationId xmlns:a16="http://schemas.microsoft.com/office/drawing/2014/main" id="{881D5555-6588-4713-B590-43DE596FF85F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323850</xdr:colOff>
      <xdr:row>71</xdr:row>
      <xdr:rowOff>120650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215C2152-C3A3-48D8-BCCB-0D9239B9A893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323850</xdr:colOff>
      <xdr:row>73</xdr:row>
      <xdr:rowOff>120650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B90EF52F-C0DB-4F99-9830-9B6B0907E38B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323850</xdr:colOff>
      <xdr:row>75</xdr:row>
      <xdr:rowOff>120650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43E2724F-81E0-4774-8F30-0BFA0FE45FD8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323850</xdr:colOff>
      <xdr:row>77</xdr:row>
      <xdr:rowOff>120650</xdr:rowOff>
    </xdr:to>
    <xdr:sp macro="" textlink="">
      <xdr:nvSpPr>
        <xdr:cNvPr id="51" name="Frame 50">
          <a:extLst>
            <a:ext uri="{FF2B5EF4-FFF2-40B4-BE49-F238E27FC236}">
              <a16:creationId xmlns:a16="http://schemas.microsoft.com/office/drawing/2014/main" id="{F53766A6-2780-49B0-9DE4-EB23FC0DE939}"/>
            </a:ext>
          </a:extLst>
        </xdr:cNvPr>
        <xdr:cNvSpPr/>
      </xdr:nvSpPr>
      <xdr:spPr>
        <a:xfrm>
          <a:off x="0" y="2559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323850</xdr:colOff>
      <xdr:row>79</xdr:row>
      <xdr:rowOff>120650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73964869-AB08-48C0-8F0F-3EDCB33C40BD}"/>
            </a:ext>
          </a:extLst>
        </xdr:cNvPr>
        <xdr:cNvSpPr/>
      </xdr:nvSpPr>
      <xdr:spPr>
        <a:xfrm>
          <a:off x="0" y="292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323850</xdr:colOff>
      <xdr:row>87</xdr:row>
      <xdr:rowOff>120650</xdr:rowOff>
    </xdr:to>
    <xdr:sp macro="" textlink="">
      <xdr:nvSpPr>
        <xdr:cNvPr id="53" name="Frame 52">
          <a:extLst>
            <a:ext uri="{FF2B5EF4-FFF2-40B4-BE49-F238E27FC236}">
              <a16:creationId xmlns:a16="http://schemas.microsoft.com/office/drawing/2014/main" id="{6FC84AC1-1193-465C-8EA4-209B86C6DAD4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323850</xdr:colOff>
      <xdr:row>89</xdr:row>
      <xdr:rowOff>120650</xdr:rowOff>
    </xdr:to>
    <xdr:sp macro="" textlink="">
      <xdr:nvSpPr>
        <xdr:cNvPr id="54" name="Frame 53">
          <a:extLst>
            <a:ext uri="{FF2B5EF4-FFF2-40B4-BE49-F238E27FC236}">
              <a16:creationId xmlns:a16="http://schemas.microsoft.com/office/drawing/2014/main" id="{6C77C269-8847-40F0-8811-1A139AF23D8D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323850</xdr:colOff>
      <xdr:row>91</xdr:row>
      <xdr:rowOff>120650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C3A93442-930A-4D65-9C0E-5F19DEB5990E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323850</xdr:colOff>
      <xdr:row>93</xdr:row>
      <xdr:rowOff>120650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F809E21E-5173-44F5-99C6-65BB14C97B0B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323850</xdr:colOff>
      <xdr:row>87</xdr:row>
      <xdr:rowOff>120650</xdr:rowOff>
    </xdr:to>
    <xdr:sp macro="" textlink="">
      <xdr:nvSpPr>
        <xdr:cNvPr id="59" name="Frame 58">
          <a:extLst>
            <a:ext uri="{FF2B5EF4-FFF2-40B4-BE49-F238E27FC236}">
              <a16:creationId xmlns:a16="http://schemas.microsoft.com/office/drawing/2014/main" id="{86BC375B-47AC-468F-960D-5E3F8AB40D1F}"/>
            </a:ext>
          </a:extLst>
        </xdr:cNvPr>
        <xdr:cNvSpPr/>
      </xdr:nvSpPr>
      <xdr:spPr>
        <a:xfrm>
          <a:off x="0" y="1085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323850</xdr:colOff>
      <xdr:row>89</xdr:row>
      <xdr:rowOff>120650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39DC7E66-D137-4C38-8634-FCC02F6FD6B5}"/>
            </a:ext>
          </a:extLst>
        </xdr:cNvPr>
        <xdr:cNvSpPr/>
      </xdr:nvSpPr>
      <xdr:spPr>
        <a:xfrm>
          <a:off x="0" y="1454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323850</xdr:colOff>
      <xdr:row>91</xdr:row>
      <xdr:rowOff>120650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B366465C-3424-44EF-90BD-2CA20B9AA9C3}"/>
            </a:ext>
          </a:extLst>
        </xdr:cNvPr>
        <xdr:cNvSpPr/>
      </xdr:nvSpPr>
      <xdr:spPr>
        <a:xfrm>
          <a:off x="0" y="1822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323850</xdr:colOff>
      <xdr:row>93</xdr:row>
      <xdr:rowOff>120650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C366CF32-3610-43B4-9BEF-8689E6E30D71}"/>
            </a:ext>
          </a:extLst>
        </xdr:cNvPr>
        <xdr:cNvSpPr/>
      </xdr:nvSpPr>
      <xdr:spPr>
        <a:xfrm>
          <a:off x="0" y="2190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323850</xdr:colOff>
      <xdr:row>101</xdr:row>
      <xdr:rowOff>120650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8234302F-56CD-4E38-AD30-28CCC2315C20}"/>
            </a:ext>
          </a:extLst>
        </xdr:cNvPr>
        <xdr:cNvSpPr/>
      </xdr:nvSpPr>
      <xdr:spPr>
        <a:xfrm>
          <a:off x="0" y="1590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323850</xdr:colOff>
      <xdr:row>103</xdr:row>
      <xdr:rowOff>120650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039FB3E1-A793-47DB-8DA2-15EEE22EFD75}"/>
            </a:ext>
          </a:extLst>
        </xdr:cNvPr>
        <xdr:cNvSpPr/>
      </xdr:nvSpPr>
      <xdr:spPr>
        <a:xfrm>
          <a:off x="0" y="1627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323850</xdr:colOff>
      <xdr:row>105</xdr:row>
      <xdr:rowOff>120650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5241060C-0B06-4978-9455-FF0D7D6317AD}"/>
            </a:ext>
          </a:extLst>
        </xdr:cNvPr>
        <xdr:cNvSpPr/>
      </xdr:nvSpPr>
      <xdr:spPr>
        <a:xfrm>
          <a:off x="0" y="1664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323850</xdr:colOff>
      <xdr:row>107</xdr:row>
      <xdr:rowOff>120650</xdr:rowOff>
    </xdr:to>
    <xdr:sp macro="" textlink="">
      <xdr:nvSpPr>
        <xdr:cNvPr id="68" name="Frame 67">
          <a:extLst>
            <a:ext uri="{FF2B5EF4-FFF2-40B4-BE49-F238E27FC236}">
              <a16:creationId xmlns:a16="http://schemas.microsoft.com/office/drawing/2014/main" id="{ADCC9E26-CA86-4089-9C76-92B0C9EB746D}"/>
            </a:ext>
          </a:extLst>
        </xdr:cNvPr>
        <xdr:cNvSpPr/>
      </xdr:nvSpPr>
      <xdr:spPr>
        <a:xfrm>
          <a:off x="0" y="1701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323850</xdr:colOff>
      <xdr:row>101</xdr:row>
      <xdr:rowOff>120650</xdr:rowOff>
    </xdr:to>
    <xdr:sp macro="" textlink="">
      <xdr:nvSpPr>
        <xdr:cNvPr id="69" name="Frame 68">
          <a:extLst>
            <a:ext uri="{FF2B5EF4-FFF2-40B4-BE49-F238E27FC236}">
              <a16:creationId xmlns:a16="http://schemas.microsoft.com/office/drawing/2014/main" id="{97036849-9696-4D9D-B7A5-0E5A0C2A4CA2}"/>
            </a:ext>
          </a:extLst>
        </xdr:cNvPr>
        <xdr:cNvSpPr/>
      </xdr:nvSpPr>
      <xdr:spPr>
        <a:xfrm>
          <a:off x="0" y="15906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323850</xdr:colOff>
      <xdr:row>103</xdr:row>
      <xdr:rowOff>120650</xdr:rowOff>
    </xdr:to>
    <xdr:sp macro="" textlink="">
      <xdr:nvSpPr>
        <xdr:cNvPr id="70" name="Frame 69">
          <a:extLst>
            <a:ext uri="{FF2B5EF4-FFF2-40B4-BE49-F238E27FC236}">
              <a16:creationId xmlns:a16="http://schemas.microsoft.com/office/drawing/2014/main" id="{66DBC58E-6EFD-436D-BA15-D56A1E983EE2}"/>
            </a:ext>
          </a:extLst>
        </xdr:cNvPr>
        <xdr:cNvSpPr/>
      </xdr:nvSpPr>
      <xdr:spPr>
        <a:xfrm>
          <a:off x="0" y="16275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323850</xdr:colOff>
      <xdr:row>105</xdr:row>
      <xdr:rowOff>120650</xdr:rowOff>
    </xdr:to>
    <xdr:sp macro="" textlink="">
      <xdr:nvSpPr>
        <xdr:cNvPr id="71" name="Frame 70">
          <a:extLst>
            <a:ext uri="{FF2B5EF4-FFF2-40B4-BE49-F238E27FC236}">
              <a16:creationId xmlns:a16="http://schemas.microsoft.com/office/drawing/2014/main" id="{A7F2EAE9-9948-4FA5-8592-14839C396A7E}"/>
            </a:ext>
          </a:extLst>
        </xdr:cNvPr>
        <xdr:cNvSpPr/>
      </xdr:nvSpPr>
      <xdr:spPr>
        <a:xfrm>
          <a:off x="0" y="16643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323850</xdr:colOff>
      <xdr:row>107</xdr:row>
      <xdr:rowOff>120650</xdr:rowOff>
    </xdr:to>
    <xdr:sp macro="" textlink="">
      <xdr:nvSpPr>
        <xdr:cNvPr id="72" name="Frame 71">
          <a:extLst>
            <a:ext uri="{FF2B5EF4-FFF2-40B4-BE49-F238E27FC236}">
              <a16:creationId xmlns:a16="http://schemas.microsoft.com/office/drawing/2014/main" id="{FC4DD91A-A505-4148-9076-D784A7AD471F}"/>
            </a:ext>
          </a:extLst>
        </xdr:cNvPr>
        <xdr:cNvSpPr/>
      </xdr:nvSpPr>
      <xdr:spPr>
        <a:xfrm>
          <a:off x="0" y="17011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323850</xdr:colOff>
      <xdr:row>109</xdr:row>
      <xdr:rowOff>120650</xdr:rowOff>
    </xdr:to>
    <xdr:sp macro="" textlink="">
      <xdr:nvSpPr>
        <xdr:cNvPr id="73" name="Frame 72">
          <a:extLst>
            <a:ext uri="{FF2B5EF4-FFF2-40B4-BE49-F238E27FC236}">
              <a16:creationId xmlns:a16="http://schemas.microsoft.com/office/drawing/2014/main" id="{F9489F9D-CEE9-4957-BD48-ED0EC589F7FC}"/>
            </a:ext>
          </a:extLst>
        </xdr:cNvPr>
        <xdr:cNvSpPr/>
      </xdr:nvSpPr>
      <xdr:spPr>
        <a:xfrm>
          <a:off x="0" y="2006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323850</xdr:colOff>
      <xdr:row>111</xdr:row>
      <xdr:rowOff>120650</xdr:rowOff>
    </xdr:to>
    <xdr:sp macro="" textlink="">
      <xdr:nvSpPr>
        <xdr:cNvPr id="74" name="Frame 73">
          <a:extLst>
            <a:ext uri="{FF2B5EF4-FFF2-40B4-BE49-F238E27FC236}">
              <a16:creationId xmlns:a16="http://schemas.microsoft.com/office/drawing/2014/main" id="{5DEC05D2-F865-4955-8D66-C964BEB7685F}"/>
            </a:ext>
          </a:extLst>
        </xdr:cNvPr>
        <xdr:cNvSpPr/>
      </xdr:nvSpPr>
      <xdr:spPr>
        <a:xfrm>
          <a:off x="0" y="20434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5AB6E8CF-0EF8-44E3-A3BA-23ED4F57928A}"/>
            </a:ext>
          </a:extLst>
        </xdr:cNvPr>
        <xdr:cNvSpPr/>
      </xdr:nvSpPr>
      <xdr:spPr>
        <a:xfrm>
          <a:off x="0" y="1859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323850</xdr:colOff>
      <xdr:row>121</xdr:row>
      <xdr:rowOff>120650</xdr:rowOff>
    </xdr:to>
    <xdr:sp macro="" textlink="">
      <xdr:nvSpPr>
        <xdr:cNvPr id="76" name="Frame 75">
          <a:extLst>
            <a:ext uri="{FF2B5EF4-FFF2-40B4-BE49-F238E27FC236}">
              <a16:creationId xmlns:a16="http://schemas.microsoft.com/office/drawing/2014/main" id="{9B4237A3-ADCA-4B94-85D2-906BD44931B4}"/>
            </a:ext>
          </a:extLst>
        </xdr:cNvPr>
        <xdr:cNvSpPr/>
      </xdr:nvSpPr>
      <xdr:spPr>
        <a:xfrm>
          <a:off x="0" y="1896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323850</xdr:colOff>
      <xdr:row>123</xdr:row>
      <xdr:rowOff>120650</xdr:rowOff>
    </xdr:to>
    <xdr:sp macro="" textlink="">
      <xdr:nvSpPr>
        <xdr:cNvPr id="77" name="Frame 76">
          <a:extLst>
            <a:ext uri="{FF2B5EF4-FFF2-40B4-BE49-F238E27FC236}">
              <a16:creationId xmlns:a16="http://schemas.microsoft.com/office/drawing/2014/main" id="{70749569-1CD3-44BB-B2F1-E913AC7C9242}"/>
            </a:ext>
          </a:extLst>
        </xdr:cNvPr>
        <xdr:cNvSpPr/>
      </xdr:nvSpPr>
      <xdr:spPr>
        <a:xfrm>
          <a:off x="0" y="1932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323850</xdr:colOff>
      <xdr:row>125</xdr:row>
      <xdr:rowOff>120650</xdr:rowOff>
    </xdr:to>
    <xdr:sp macro="" textlink="">
      <xdr:nvSpPr>
        <xdr:cNvPr id="78" name="Frame 77">
          <a:extLst>
            <a:ext uri="{FF2B5EF4-FFF2-40B4-BE49-F238E27FC236}">
              <a16:creationId xmlns:a16="http://schemas.microsoft.com/office/drawing/2014/main" id="{7958823E-8F23-40BD-AA65-4366950DC7F6}"/>
            </a:ext>
          </a:extLst>
        </xdr:cNvPr>
        <xdr:cNvSpPr/>
      </xdr:nvSpPr>
      <xdr:spPr>
        <a:xfrm>
          <a:off x="0" y="1969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323850</xdr:colOff>
      <xdr:row>119</xdr:row>
      <xdr:rowOff>120650</xdr:rowOff>
    </xdr:to>
    <xdr:sp macro="" textlink="">
      <xdr:nvSpPr>
        <xdr:cNvPr id="79" name="Frame 78">
          <a:extLst>
            <a:ext uri="{FF2B5EF4-FFF2-40B4-BE49-F238E27FC236}">
              <a16:creationId xmlns:a16="http://schemas.microsoft.com/office/drawing/2014/main" id="{1E9208CF-EF61-40D3-9746-A35F9D5C0982}"/>
            </a:ext>
          </a:extLst>
        </xdr:cNvPr>
        <xdr:cNvSpPr/>
      </xdr:nvSpPr>
      <xdr:spPr>
        <a:xfrm>
          <a:off x="0" y="18592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323850</xdr:colOff>
      <xdr:row>121</xdr:row>
      <xdr:rowOff>120650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66074ACA-19DF-4514-A3A4-43886B531816}"/>
            </a:ext>
          </a:extLst>
        </xdr:cNvPr>
        <xdr:cNvSpPr/>
      </xdr:nvSpPr>
      <xdr:spPr>
        <a:xfrm>
          <a:off x="0" y="18961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323850</xdr:colOff>
      <xdr:row>123</xdr:row>
      <xdr:rowOff>120650</xdr:rowOff>
    </xdr:to>
    <xdr:sp macro="" textlink="">
      <xdr:nvSpPr>
        <xdr:cNvPr id="81" name="Frame 80">
          <a:extLst>
            <a:ext uri="{FF2B5EF4-FFF2-40B4-BE49-F238E27FC236}">
              <a16:creationId xmlns:a16="http://schemas.microsoft.com/office/drawing/2014/main" id="{65743186-CDDE-4A57-9DF8-A40488C3722D}"/>
            </a:ext>
          </a:extLst>
        </xdr:cNvPr>
        <xdr:cNvSpPr/>
      </xdr:nvSpPr>
      <xdr:spPr>
        <a:xfrm>
          <a:off x="0" y="19329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323850</xdr:colOff>
      <xdr:row>125</xdr:row>
      <xdr:rowOff>120650</xdr:rowOff>
    </xdr:to>
    <xdr:sp macro="" textlink="">
      <xdr:nvSpPr>
        <xdr:cNvPr id="82" name="Frame 81">
          <a:extLst>
            <a:ext uri="{FF2B5EF4-FFF2-40B4-BE49-F238E27FC236}">
              <a16:creationId xmlns:a16="http://schemas.microsoft.com/office/drawing/2014/main" id="{798A5B9C-7DE3-45FA-837B-2AC4F33ABB8A}"/>
            </a:ext>
          </a:extLst>
        </xdr:cNvPr>
        <xdr:cNvSpPr/>
      </xdr:nvSpPr>
      <xdr:spPr>
        <a:xfrm>
          <a:off x="0" y="19697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323850</xdr:colOff>
      <xdr:row>127</xdr:row>
      <xdr:rowOff>120650</xdr:rowOff>
    </xdr:to>
    <xdr:sp macro="" textlink="">
      <xdr:nvSpPr>
        <xdr:cNvPr id="83" name="Frame 82">
          <a:extLst>
            <a:ext uri="{FF2B5EF4-FFF2-40B4-BE49-F238E27FC236}">
              <a16:creationId xmlns:a16="http://schemas.microsoft.com/office/drawing/2014/main" id="{2D6BA8AC-B572-4A99-943E-CDFB74F28F3E}"/>
            </a:ext>
          </a:extLst>
        </xdr:cNvPr>
        <xdr:cNvSpPr/>
      </xdr:nvSpPr>
      <xdr:spPr>
        <a:xfrm>
          <a:off x="0" y="20066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323850</xdr:colOff>
      <xdr:row>135</xdr:row>
      <xdr:rowOff>120650</xdr:rowOff>
    </xdr:to>
    <xdr:sp macro="" textlink="">
      <xdr:nvSpPr>
        <xdr:cNvPr id="85" name="Frame 84">
          <a:extLst>
            <a:ext uri="{FF2B5EF4-FFF2-40B4-BE49-F238E27FC236}">
              <a16:creationId xmlns:a16="http://schemas.microsoft.com/office/drawing/2014/main" id="{30CD47B4-A787-4E85-99AD-5BC3A6AF6987}"/>
            </a:ext>
          </a:extLst>
        </xdr:cNvPr>
        <xdr:cNvSpPr/>
      </xdr:nvSpPr>
      <xdr:spPr>
        <a:xfrm>
          <a:off x="0" y="2201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323850</xdr:colOff>
      <xdr:row>137</xdr:row>
      <xdr:rowOff>120650</xdr:rowOff>
    </xdr:to>
    <xdr:sp macro="" textlink="">
      <xdr:nvSpPr>
        <xdr:cNvPr id="86" name="Frame 85">
          <a:extLst>
            <a:ext uri="{FF2B5EF4-FFF2-40B4-BE49-F238E27FC236}">
              <a16:creationId xmlns:a16="http://schemas.microsoft.com/office/drawing/2014/main" id="{CB536026-D1A2-4A0A-BA54-4F4F7FFD8459}"/>
            </a:ext>
          </a:extLst>
        </xdr:cNvPr>
        <xdr:cNvSpPr/>
      </xdr:nvSpPr>
      <xdr:spPr>
        <a:xfrm>
          <a:off x="0" y="2238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323850</xdr:colOff>
      <xdr:row>139</xdr:row>
      <xdr:rowOff>120650</xdr:rowOff>
    </xdr:to>
    <xdr:sp macro="" textlink="">
      <xdr:nvSpPr>
        <xdr:cNvPr id="87" name="Frame 86">
          <a:extLst>
            <a:ext uri="{FF2B5EF4-FFF2-40B4-BE49-F238E27FC236}">
              <a16:creationId xmlns:a16="http://schemas.microsoft.com/office/drawing/2014/main" id="{C78FC24E-EF87-4FAA-BB41-709F118FE629}"/>
            </a:ext>
          </a:extLst>
        </xdr:cNvPr>
        <xdr:cNvSpPr/>
      </xdr:nvSpPr>
      <xdr:spPr>
        <a:xfrm>
          <a:off x="0" y="2275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323850</xdr:colOff>
      <xdr:row>141</xdr:row>
      <xdr:rowOff>120650</xdr:rowOff>
    </xdr:to>
    <xdr:sp macro="" textlink="">
      <xdr:nvSpPr>
        <xdr:cNvPr id="88" name="Frame 87">
          <a:extLst>
            <a:ext uri="{FF2B5EF4-FFF2-40B4-BE49-F238E27FC236}">
              <a16:creationId xmlns:a16="http://schemas.microsoft.com/office/drawing/2014/main" id="{84EEB74E-0BDF-4FE4-B1D3-F4604D2B69EF}"/>
            </a:ext>
          </a:extLst>
        </xdr:cNvPr>
        <xdr:cNvSpPr/>
      </xdr:nvSpPr>
      <xdr:spPr>
        <a:xfrm>
          <a:off x="0" y="2312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323850</xdr:colOff>
      <xdr:row>135</xdr:row>
      <xdr:rowOff>120650</xdr:rowOff>
    </xdr:to>
    <xdr:sp macro="" textlink="">
      <xdr:nvSpPr>
        <xdr:cNvPr id="89" name="Frame 88">
          <a:extLst>
            <a:ext uri="{FF2B5EF4-FFF2-40B4-BE49-F238E27FC236}">
              <a16:creationId xmlns:a16="http://schemas.microsoft.com/office/drawing/2014/main" id="{7721553D-8213-40DC-AC3A-79DE56EAE5BF}"/>
            </a:ext>
          </a:extLst>
        </xdr:cNvPr>
        <xdr:cNvSpPr/>
      </xdr:nvSpPr>
      <xdr:spPr>
        <a:xfrm>
          <a:off x="0" y="2201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323850</xdr:colOff>
      <xdr:row>137</xdr:row>
      <xdr:rowOff>120650</xdr:rowOff>
    </xdr:to>
    <xdr:sp macro="" textlink="">
      <xdr:nvSpPr>
        <xdr:cNvPr id="90" name="Frame 89">
          <a:extLst>
            <a:ext uri="{FF2B5EF4-FFF2-40B4-BE49-F238E27FC236}">
              <a16:creationId xmlns:a16="http://schemas.microsoft.com/office/drawing/2014/main" id="{8025E62D-ED89-417B-A919-9F54B661D287}"/>
            </a:ext>
          </a:extLst>
        </xdr:cNvPr>
        <xdr:cNvSpPr/>
      </xdr:nvSpPr>
      <xdr:spPr>
        <a:xfrm>
          <a:off x="0" y="223837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323850</xdr:colOff>
      <xdr:row>139</xdr:row>
      <xdr:rowOff>120650</xdr:rowOff>
    </xdr:to>
    <xdr:sp macro="" textlink="">
      <xdr:nvSpPr>
        <xdr:cNvPr id="91" name="Frame 90">
          <a:extLst>
            <a:ext uri="{FF2B5EF4-FFF2-40B4-BE49-F238E27FC236}">
              <a16:creationId xmlns:a16="http://schemas.microsoft.com/office/drawing/2014/main" id="{A09154D6-6A2D-40DD-BAE9-B2494E29FD52}"/>
            </a:ext>
          </a:extLst>
        </xdr:cNvPr>
        <xdr:cNvSpPr/>
      </xdr:nvSpPr>
      <xdr:spPr>
        <a:xfrm>
          <a:off x="0" y="227520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323850</xdr:colOff>
      <xdr:row>141</xdr:row>
      <xdr:rowOff>120650</xdr:rowOff>
    </xdr:to>
    <xdr:sp macro="" textlink="">
      <xdr:nvSpPr>
        <xdr:cNvPr id="92" name="Frame 91">
          <a:extLst>
            <a:ext uri="{FF2B5EF4-FFF2-40B4-BE49-F238E27FC236}">
              <a16:creationId xmlns:a16="http://schemas.microsoft.com/office/drawing/2014/main" id="{5DE0F2EF-90DE-4AD6-80DE-ED468A09893C}"/>
            </a:ext>
          </a:extLst>
        </xdr:cNvPr>
        <xdr:cNvSpPr/>
      </xdr:nvSpPr>
      <xdr:spPr>
        <a:xfrm>
          <a:off x="0" y="23120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323850</xdr:colOff>
      <xdr:row>143</xdr:row>
      <xdr:rowOff>120650</xdr:rowOff>
    </xdr:to>
    <xdr:sp macro="" textlink="">
      <xdr:nvSpPr>
        <xdr:cNvPr id="93" name="Frame 92">
          <a:extLst>
            <a:ext uri="{FF2B5EF4-FFF2-40B4-BE49-F238E27FC236}">
              <a16:creationId xmlns:a16="http://schemas.microsoft.com/office/drawing/2014/main" id="{BF0C4D9A-22AD-49BD-9070-3C61AE0A2D69}"/>
            </a:ext>
          </a:extLst>
        </xdr:cNvPr>
        <xdr:cNvSpPr/>
      </xdr:nvSpPr>
      <xdr:spPr>
        <a:xfrm>
          <a:off x="0" y="23488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323850</xdr:colOff>
      <xdr:row>151</xdr:row>
      <xdr:rowOff>120650</xdr:rowOff>
    </xdr:to>
    <xdr:sp macro="" textlink="">
      <xdr:nvSpPr>
        <xdr:cNvPr id="94" name="Frame 93">
          <a:extLst>
            <a:ext uri="{FF2B5EF4-FFF2-40B4-BE49-F238E27FC236}">
              <a16:creationId xmlns:a16="http://schemas.microsoft.com/office/drawing/2014/main" id="{81C6C917-8761-4A3A-A3D4-BDDD8C17E86B}"/>
            </a:ext>
          </a:extLst>
        </xdr:cNvPr>
        <xdr:cNvSpPr/>
      </xdr:nvSpPr>
      <xdr:spPr>
        <a:xfrm>
          <a:off x="0" y="2510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323850</xdr:colOff>
      <xdr:row>153</xdr:row>
      <xdr:rowOff>120650</xdr:rowOff>
    </xdr:to>
    <xdr:sp macro="" textlink="">
      <xdr:nvSpPr>
        <xdr:cNvPr id="95" name="Frame 94">
          <a:extLst>
            <a:ext uri="{FF2B5EF4-FFF2-40B4-BE49-F238E27FC236}">
              <a16:creationId xmlns:a16="http://schemas.microsoft.com/office/drawing/2014/main" id="{28553C1C-29C6-483B-A744-88F8AB25D5A4}"/>
            </a:ext>
          </a:extLst>
        </xdr:cNvPr>
        <xdr:cNvSpPr/>
      </xdr:nvSpPr>
      <xdr:spPr>
        <a:xfrm>
          <a:off x="0" y="2546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323850</xdr:colOff>
      <xdr:row>155</xdr:row>
      <xdr:rowOff>120650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9D9927CC-B1CE-4AB8-8F7B-F6DB306E4B26}"/>
            </a:ext>
          </a:extLst>
        </xdr:cNvPr>
        <xdr:cNvSpPr/>
      </xdr:nvSpPr>
      <xdr:spPr>
        <a:xfrm>
          <a:off x="0" y="2583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323850</xdr:colOff>
      <xdr:row>157</xdr:row>
      <xdr:rowOff>120650</xdr:rowOff>
    </xdr:to>
    <xdr:sp macro="" textlink="">
      <xdr:nvSpPr>
        <xdr:cNvPr id="97" name="Frame 96">
          <a:extLst>
            <a:ext uri="{FF2B5EF4-FFF2-40B4-BE49-F238E27FC236}">
              <a16:creationId xmlns:a16="http://schemas.microsoft.com/office/drawing/2014/main" id="{BF050AA2-6CC9-45A1-AC72-2B0BF042DC9D}"/>
            </a:ext>
          </a:extLst>
        </xdr:cNvPr>
        <xdr:cNvSpPr/>
      </xdr:nvSpPr>
      <xdr:spPr>
        <a:xfrm>
          <a:off x="0" y="2620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323850</xdr:colOff>
      <xdr:row>151</xdr:row>
      <xdr:rowOff>120650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669D7DF5-E1CD-4D90-8DA4-1A9A598E37C3}"/>
            </a:ext>
          </a:extLst>
        </xdr:cNvPr>
        <xdr:cNvSpPr/>
      </xdr:nvSpPr>
      <xdr:spPr>
        <a:xfrm>
          <a:off x="0" y="2510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323850</xdr:colOff>
      <xdr:row>153</xdr:row>
      <xdr:rowOff>120650</xdr:rowOff>
    </xdr:to>
    <xdr:sp macro="" textlink="">
      <xdr:nvSpPr>
        <xdr:cNvPr id="99" name="Frame 98">
          <a:extLst>
            <a:ext uri="{FF2B5EF4-FFF2-40B4-BE49-F238E27FC236}">
              <a16:creationId xmlns:a16="http://schemas.microsoft.com/office/drawing/2014/main" id="{B0D69C4E-7440-4F84-80F5-A1EF5F579745}"/>
            </a:ext>
          </a:extLst>
        </xdr:cNvPr>
        <xdr:cNvSpPr/>
      </xdr:nvSpPr>
      <xdr:spPr>
        <a:xfrm>
          <a:off x="0" y="2546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323850</xdr:colOff>
      <xdr:row>155</xdr:row>
      <xdr:rowOff>120650</xdr:rowOff>
    </xdr:to>
    <xdr:sp macro="" textlink="">
      <xdr:nvSpPr>
        <xdr:cNvPr id="100" name="Frame 99">
          <a:extLst>
            <a:ext uri="{FF2B5EF4-FFF2-40B4-BE49-F238E27FC236}">
              <a16:creationId xmlns:a16="http://schemas.microsoft.com/office/drawing/2014/main" id="{A8C27DBD-49E1-48A4-8ACC-54B6CA03E6D5}"/>
            </a:ext>
          </a:extLst>
        </xdr:cNvPr>
        <xdr:cNvSpPr/>
      </xdr:nvSpPr>
      <xdr:spPr>
        <a:xfrm>
          <a:off x="0" y="2583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323850</xdr:colOff>
      <xdr:row>157</xdr:row>
      <xdr:rowOff>120650</xdr:rowOff>
    </xdr:to>
    <xdr:sp macro="" textlink="">
      <xdr:nvSpPr>
        <xdr:cNvPr id="101" name="Frame 100">
          <a:extLst>
            <a:ext uri="{FF2B5EF4-FFF2-40B4-BE49-F238E27FC236}">
              <a16:creationId xmlns:a16="http://schemas.microsoft.com/office/drawing/2014/main" id="{1E84764C-C5EB-46CD-B38A-DA7FF2E12E1D}"/>
            </a:ext>
          </a:extLst>
        </xdr:cNvPr>
        <xdr:cNvSpPr/>
      </xdr:nvSpPr>
      <xdr:spPr>
        <a:xfrm>
          <a:off x="0" y="2620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323850</xdr:colOff>
      <xdr:row>172</xdr:row>
      <xdr:rowOff>120650</xdr:rowOff>
    </xdr:to>
    <xdr:sp macro="" textlink="">
      <xdr:nvSpPr>
        <xdr:cNvPr id="103" name="Frame 102">
          <a:extLst>
            <a:ext uri="{FF2B5EF4-FFF2-40B4-BE49-F238E27FC236}">
              <a16:creationId xmlns:a16="http://schemas.microsoft.com/office/drawing/2014/main" id="{A047E328-549D-45F8-9A77-60880CEE06E5}"/>
            </a:ext>
          </a:extLst>
        </xdr:cNvPr>
        <xdr:cNvSpPr/>
      </xdr:nvSpPr>
      <xdr:spPr>
        <a:xfrm>
          <a:off x="0" y="2818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323850</xdr:colOff>
      <xdr:row>174</xdr:row>
      <xdr:rowOff>120650</xdr:rowOff>
    </xdr:to>
    <xdr:sp macro="" textlink="">
      <xdr:nvSpPr>
        <xdr:cNvPr id="104" name="Frame 103">
          <a:extLst>
            <a:ext uri="{FF2B5EF4-FFF2-40B4-BE49-F238E27FC236}">
              <a16:creationId xmlns:a16="http://schemas.microsoft.com/office/drawing/2014/main" id="{12F40672-4166-41EF-AA55-7FB60F0B23D3}"/>
            </a:ext>
          </a:extLst>
        </xdr:cNvPr>
        <xdr:cNvSpPr/>
      </xdr:nvSpPr>
      <xdr:spPr>
        <a:xfrm>
          <a:off x="0" y="2855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323850</xdr:colOff>
      <xdr:row>176</xdr:row>
      <xdr:rowOff>120650</xdr:rowOff>
    </xdr:to>
    <xdr:sp macro="" textlink="">
      <xdr:nvSpPr>
        <xdr:cNvPr id="105" name="Frame 104">
          <a:extLst>
            <a:ext uri="{FF2B5EF4-FFF2-40B4-BE49-F238E27FC236}">
              <a16:creationId xmlns:a16="http://schemas.microsoft.com/office/drawing/2014/main" id="{B227C2EE-77DE-40E8-8F85-CA8BEDAAE816}"/>
            </a:ext>
          </a:extLst>
        </xdr:cNvPr>
        <xdr:cNvSpPr/>
      </xdr:nvSpPr>
      <xdr:spPr>
        <a:xfrm>
          <a:off x="0" y="2892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323850</xdr:colOff>
      <xdr:row>172</xdr:row>
      <xdr:rowOff>120650</xdr:rowOff>
    </xdr:to>
    <xdr:sp macro="" textlink="">
      <xdr:nvSpPr>
        <xdr:cNvPr id="107" name="Frame 106">
          <a:extLst>
            <a:ext uri="{FF2B5EF4-FFF2-40B4-BE49-F238E27FC236}">
              <a16:creationId xmlns:a16="http://schemas.microsoft.com/office/drawing/2014/main" id="{15DD711D-B912-4BDF-81BF-2407276B7E8D}"/>
            </a:ext>
          </a:extLst>
        </xdr:cNvPr>
        <xdr:cNvSpPr/>
      </xdr:nvSpPr>
      <xdr:spPr>
        <a:xfrm>
          <a:off x="0" y="2818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323850</xdr:colOff>
      <xdr:row>174</xdr:row>
      <xdr:rowOff>120650</xdr:rowOff>
    </xdr:to>
    <xdr:sp macro="" textlink="">
      <xdr:nvSpPr>
        <xdr:cNvPr id="108" name="Frame 107">
          <a:extLst>
            <a:ext uri="{FF2B5EF4-FFF2-40B4-BE49-F238E27FC236}">
              <a16:creationId xmlns:a16="http://schemas.microsoft.com/office/drawing/2014/main" id="{1E08A7D5-9A7D-45E2-83E5-699479092E75}"/>
            </a:ext>
          </a:extLst>
        </xdr:cNvPr>
        <xdr:cNvSpPr/>
      </xdr:nvSpPr>
      <xdr:spPr>
        <a:xfrm>
          <a:off x="0" y="2855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323850</xdr:colOff>
      <xdr:row>176</xdr:row>
      <xdr:rowOff>120650</xdr:rowOff>
    </xdr:to>
    <xdr:sp macro="" textlink="">
      <xdr:nvSpPr>
        <xdr:cNvPr id="109" name="Frame 108">
          <a:extLst>
            <a:ext uri="{FF2B5EF4-FFF2-40B4-BE49-F238E27FC236}">
              <a16:creationId xmlns:a16="http://schemas.microsoft.com/office/drawing/2014/main" id="{024B7C7A-6B45-4B39-8A0B-3CC83B37D647}"/>
            </a:ext>
          </a:extLst>
        </xdr:cNvPr>
        <xdr:cNvSpPr/>
      </xdr:nvSpPr>
      <xdr:spPr>
        <a:xfrm>
          <a:off x="0" y="2892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0</xdr:col>
      <xdr:colOff>323850</xdr:colOff>
      <xdr:row>218</xdr:row>
      <xdr:rowOff>120650</xdr:rowOff>
    </xdr:to>
    <xdr:sp macro="" textlink="">
      <xdr:nvSpPr>
        <xdr:cNvPr id="111" name="Frame 110">
          <a:extLst>
            <a:ext uri="{FF2B5EF4-FFF2-40B4-BE49-F238E27FC236}">
              <a16:creationId xmlns:a16="http://schemas.microsoft.com/office/drawing/2014/main" id="{FA2B45FB-3410-4D62-B720-E87CA723FE25}"/>
            </a:ext>
          </a:extLst>
        </xdr:cNvPr>
        <xdr:cNvSpPr/>
      </xdr:nvSpPr>
      <xdr:spPr>
        <a:xfrm>
          <a:off x="0" y="3090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0</xdr:col>
      <xdr:colOff>323850</xdr:colOff>
      <xdr:row>218</xdr:row>
      <xdr:rowOff>120650</xdr:rowOff>
    </xdr:to>
    <xdr:sp macro="" textlink="">
      <xdr:nvSpPr>
        <xdr:cNvPr id="114" name="Frame 113">
          <a:extLst>
            <a:ext uri="{FF2B5EF4-FFF2-40B4-BE49-F238E27FC236}">
              <a16:creationId xmlns:a16="http://schemas.microsoft.com/office/drawing/2014/main" id="{1656EC13-E74B-4A84-B70A-332FA3A1EC24}"/>
            </a:ext>
          </a:extLst>
        </xdr:cNvPr>
        <xdr:cNvSpPr/>
      </xdr:nvSpPr>
      <xdr:spPr>
        <a:xfrm>
          <a:off x="0" y="3090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323850</xdr:colOff>
      <xdr:row>252</xdr:row>
      <xdr:rowOff>120650</xdr:rowOff>
    </xdr:to>
    <xdr:sp macro="" textlink="">
      <xdr:nvSpPr>
        <xdr:cNvPr id="117" name="Frame 116">
          <a:extLst>
            <a:ext uri="{FF2B5EF4-FFF2-40B4-BE49-F238E27FC236}">
              <a16:creationId xmlns:a16="http://schemas.microsoft.com/office/drawing/2014/main" id="{8079BBE8-9AC4-4AEF-9BDF-097DDE44B771}"/>
            </a:ext>
          </a:extLst>
        </xdr:cNvPr>
        <xdr:cNvSpPr/>
      </xdr:nvSpPr>
      <xdr:spPr>
        <a:xfrm>
          <a:off x="0" y="395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323850</xdr:colOff>
      <xdr:row>252</xdr:row>
      <xdr:rowOff>120650</xdr:rowOff>
    </xdr:to>
    <xdr:sp macro="" textlink="">
      <xdr:nvSpPr>
        <xdr:cNvPr id="118" name="Frame 117">
          <a:extLst>
            <a:ext uri="{FF2B5EF4-FFF2-40B4-BE49-F238E27FC236}">
              <a16:creationId xmlns:a16="http://schemas.microsoft.com/office/drawing/2014/main" id="{52FFD3A5-6EEB-4C77-8E5F-87F23ECED316}"/>
            </a:ext>
          </a:extLst>
        </xdr:cNvPr>
        <xdr:cNvSpPr/>
      </xdr:nvSpPr>
      <xdr:spPr>
        <a:xfrm>
          <a:off x="0" y="39541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323850</xdr:colOff>
      <xdr:row>252</xdr:row>
      <xdr:rowOff>120650</xdr:rowOff>
    </xdr:to>
    <xdr:sp macro="" textlink="">
      <xdr:nvSpPr>
        <xdr:cNvPr id="119" name="Frame 118">
          <a:extLst>
            <a:ext uri="{FF2B5EF4-FFF2-40B4-BE49-F238E27FC236}">
              <a16:creationId xmlns:a16="http://schemas.microsoft.com/office/drawing/2014/main" id="{0ABB5DF7-6B97-42B8-9E8F-8442D1A36559}"/>
            </a:ext>
          </a:extLst>
        </xdr:cNvPr>
        <xdr:cNvSpPr/>
      </xdr:nvSpPr>
      <xdr:spPr>
        <a:xfrm>
          <a:off x="0" y="2510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0</xdr:col>
      <xdr:colOff>323850</xdr:colOff>
      <xdr:row>254</xdr:row>
      <xdr:rowOff>120650</xdr:rowOff>
    </xdr:to>
    <xdr:sp macro="" textlink="">
      <xdr:nvSpPr>
        <xdr:cNvPr id="120" name="Frame 119">
          <a:extLst>
            <a:ext uri="{FF2B5EF4-FFF2-40B4-BE49-F238E27FC236}">
              <a16:creationId xmlns:a16="http://schemas.microsoft.com/office/drawing/2014/main" id="{5E8BCE64-6CE6-4E70-A896-A87F2714D5A6}"/>
            </a:ext>
          </a:extLst>
        </xdr:cNvPr>
        <xdr:cNvSpPr/>
      </xdr:nvSpPr>
      <xdr:spPr>
        <a:xfrm>
          <a:off x="0" y="2546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323850</xdr:colOff>
      <xdr:row>256</xdr:row>
      <xdr:rowOff>120650</xdr:rowOff>
    </xdr:to>
    <xdr:sp macro="" textlink="">
      <xdr:nvSpPr>
        <xdr:cNvPr id="121" name="Frame 120">
          <a:extLst>
            <a:ext uri="{FF2B5EF4-FFF2-40B4-BE49-F238E27FC236}">
              <a16:creationId xmlns:a16="http://schemas.microsoft.com/office/drawing/2014/main" id="{14BDE15A-267C-437A-AD72-5244A3CDBE30}"/>
            </a:ext>
          </a:extLst>
        </xdr:cNvPr>
        <xdr:cNvSpPr/>
      </xdr:nvSpPr>
      <xdr:spPr>
        <a:xfrm>
          <a:off x="0" y="2583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323850</xdr:colOff>
      <xdr:row>258</xdr:row>
      <xdr:rowOff>120650</xdr:rowOff>
    </xdr:to>
    <xdr:sp macro="" textlink="">
      <xdr:nvSpPr>
        <xdr:cNvPr id="122" name="Frame 121">
          <a:extLst>
            <a:ext uri="{FF2B5EF4-FFF2-40B4-BE49-F238E27FC236}">
              <a16:creationId xmlns:a16="http://schemas.microsoft.com/office/drawing/2014/main" id="{0DD14E83-BFED-45EB-8211-C5C6B56E1113}"/>
            </a:ext>
          </a:extLst>
        </xdr:cNvPr>
        <xdr:cNvSpPr/>
      </xdr:nvSpPr>
      <xdr:spPr>
        <a:xfrm>
          <a:off x="0" y="2620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323850</xdr:colOff>
      <xdr:row>252</xdr:row>
      <xdr:rowOff>120650</xdr:rowOff>
    </xdr:to>
    <xdr:sp macro="" textlink="">
      <xdr:nvSpPr>
        <xdr:cNvPr id="123" name="Frame 122">
          <a:extLst>
            <a:ext uri="{FF2B5EF4-FFF2-40B4-BE49-F238E27FC236}">
              <a16:creationId xmlns:a16="http://schemas.microsoft.com/office/drawing/2014/main" id="{F088A84B-A8D3-485D-B46C-239C1F01C173}"/>
            </a:ext>
          </a:extLst>
        </xdr:cNvPr>
        <xdr:cNvSpPr/>
      </xdr:nvSpPr>
      <xdr:spPr>
        <a:xfrm>
          <a:off x="0" y="25101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0</xdr:col>
      <xdr:colOff>323850</xdr:colOff>
      <xdr:row>254</xdr:row>
      <xdr:rowOff>120650</xdr:rowOff>
    </xdr:to>
    <xdr:sp macro="" textlink="">
      <xdr:nvSpPr>
        <xdr:cNvPr id="124" name="Frame 123">
          <a:extLst>
            <a:ext uri="{FF2B5EF4-FFF2-40B4-BE49-F238E27FC236}">
              <a16:creationId xmlns:a16="http://schemas.microsoft.com/office/drawing/2014/main" id="{35F66A5D-1E65-4730-8FDD-4283BD449242}"/>
            </a:ext>
          </a:extLst>
        </xdr:cNvPr>
        <xdr:cNvSpPr/>
      </xdr:nvSpPr>
      <xdr:spPr>
        <a:xfrm>
          <a:off x="0" y="25469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323850</xdr:colOff>
      <xdr:row>256</xdr:row>
      <xdr:rowOff>120650</xdr:rowOff>
    </xdr:to>
    <xdr:sp macro="" textlink="">
      <xdr:nvSpPr>
        <xdr:cNvPr id="125" name="Frame 124">
          <a:extLst>
            <a:ext uri="{FF2B5EF4-FFF2-40B4-BE49-F238E27FC236}">
              <a16:creationId xmlns:a16="http://schemas.microsoft.com/office/drawing/2014/main" id="{97AEECBD-C35C-4DF3-AA82-B5A07CE8F649}"/>
            </a:ext>
          </a:extLst>
        </xdr:cNvPr>
        <xdr:cNvSpPr/>
      </xdr:nvSpPr>
      <xdr:spPr>
        <a:xfrm>
          <a:off x="0" y="25838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323850</xdr:colOff>
      <xdr:row>258</xdr:row>
      <xdr:rowOff>120650</xdr:rowOff>
    </xdr:to>
    <xdr:sp macro="" textlink="">
      <xdr:nvSpPr>
        <xdr:cNvPr id="126" name="Frame 125">
          <a:extLst>
            <a:ext uri="{FF2B5EF4-FFF2-40B4-BE49-F238E27FC236}">
              <a16:creationId xmlns:a16="http://schemas.microsoft.com/office/drawing/2014/main" id="{56EF04F7-F9D2-46F7-8099-3D82395EF62E}"/>
            </a:ext>
          </a:extLst>
        </xdr:cNvPr>
        <xdr:cNvSpPr/>
      </xdr:nvSpPr>
      <xdr:spPr>
        <a:xfrm>
          <a:off x="0" y="26206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127" name="Frame 126">
          <a:extLst>
            <a:ext uri="{FF2B5EF4-FFF2-40B4-BE49-F238E27FC236}">
              <a16:creationId xmlns:a16="http://schemas.microsoft.com/office/drawing/2014/main" id="{30F77969-8EFD-4C69-9189-03169A35CBB6}"/>
            </a:ext>
          </a:extLst>
        </xdr:cNvPr>
        <xdr:cNvSpPr/>
      </xdr:nvSpPr>
      <xdr:spPr>
        <a:xfrm>
          <a:off x="0" y="4596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128" name="Frame 127">
          <a:extLst>
            <a:ext uri="{FF2B5EF4-FFF2-40B4-BE49-F238E27FC236}">
              <a16:creationId xmlns:a16="http://schemas.microsoft.com/office/drawing/2014/main" id="{9DDFD981-44FF-49A8-BE65-CCB7D0EB93D3}"/>
            </a:ext>
          </a:extLst>
        </xdr:cNvPr>
        <xdr:cNvSpPr/>
      </xdr:nvSpPr>
      <xdr:spPr>
        <a:xfrm>
          <a:off x="0" y="4596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129" name="Frame 128">
          <a:extLst>
            <a:ext uri="{FF2B5EF4-FFF2-40B4-BE49-F238E27FC236}">
              <a16:creationId xmlns:a16="http://schemas.microsoft.com/office/drawing/2014/main" id="{94B827A5-02AF-4ACB-ABB8-7E32D470B38E}"/>
            </a:ext>
          </a:extLst>
        </xdr:cNvPr>
        <xdr:cNvSpPr/>
      </xdr:nvSpPr>
      <xdr:spPr>
        <a:xfrm>
          <a:off x="0" y="4596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323850</xdr:colOff>
      <xdr:row>275</xdr:row>
      <xdr:rowOff>120650</xdr:rowOff>
    </xdr:to>
    <xdr:sp macro="" textlink="">
      <xdr:nvSpPr>
        <xdr:cNvPr id="130" name="Frame 129">
          <a:extLst>
            <a:ext uri="{FF2B5EF4-FFF2-40B4-BE49-F238E27FC236}">
              <a16:creationId xmlns:a16="http://schemas.microsoft.com/office/drawing/2014/main" id="{BB0E568A-364F-471D-9B33-5959D0D4232F}"/>
            </a:ext>
          </a:extLst>
        </xdr:cNvPr>
        <xdr:cNvSpPr/>
      </xdr:nvSpPr>
      <xdr:spPr>
        <a:xfrm>
          <a:off x="0" y="4633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276</xdr:row>
      <xdr:rowOff>0</xdr:rowOff>
    </xdr:from>
    <xdr:to>
      <xdr:col>0</xdr:col>
      <xdr:colOff>323850</xdr:colOff>
      <xdr:row>277</xdr:row>
      <xdr:rowOff>120650</xdr:rowOff>
    </xdr:to>
    <xdr:sp macro="" textlink="">
      <xdr:nvSpPr>
        <xdr:cNvPr id="131" name="Frame 130">
          <a:extLst>
            <a:ext uri="{FF2B5EF4-FFF2-40B4-BE49-F238E27FC236}">
              <a16:creationId xmlns:a16="http://schemas.microsoft.com/office/drawing/2014/main" id="{A133466D-2BC8-4BEC-B60B-EAA16DB6BF58}"/>
            </a:ext>
          </a:extLst>
        </xdr:cNvPr>
        <xdr:cNvSpPr/>
      </xdr:nvSpPr>
      <xdr:spPr>
        <a:xfrm>
          <a:off x="0" y="4670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278</xdr:row>
      <xdr:rowOff>0</xdr:rowOff>
    </xdr:from>
    <xdr:to>
      <xdr:col>0</xdr:col>
      <xdr:colOff>323850</xdr:colOff>
      <xdr:row>279</xdr:row>
      <xdr:rowOff>120650</xdr:rowOff>
    </xdr:to>
    <xdr:sp macro="" textlink="">
      <xdr:nvSpPr>
        <xdr:cNvPr id="132" name="Frame 131">
          <a:extLst>
            <a:ext uri="{FF2B5EF4-FFF2-40B4-BE49-F238E27FC236}">
              <a16:creationId xmlns:a16="http://schemas.microsoft.com/office/drawing/2014/main" id="{ADAC9C52-0456-48A5-8508-8C97F5833DFE}"/>
            </a:ext>
          </a:extLst>
        </xdr:cNvPr>
        <xdr:cNvSpPr/>
      </xdr:nvSpPr>
      <xdr:spPr>
        <a:xfrm>
          <a:off x="0" y="4707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323850</xdr:colOff>
      <xdr:row>273</xdr:row>
      <xdr:rowOff>120650</xdr:rowOff>
    </xdr:to>
    <xdr:sp macro="" textlink="">
      <xdr:nvSpPr>
        <xdr:cNvPr id="133" name="Frame 132">
          <a:extLst>
            <a:ext uri="{FF2B5EF4-FFF2-40B4-BE49-F238E27FC236}">
              <a16:creationId xmlns:a16="http://schemas.microsoft.com/office/drawing/2014/main" id="{A5AFE4AA-B51A-4CEE-A11B-68F0D8445DB2}"/>
            </a:ext>
          </a:extLst>
        </xdr:cNvPr>
        <xdr:cNvSpPr/>
      </xdr:nvSpPr>
      <xdr:spPr>
        <a:xfrm>
          <a:off x="0" y="45967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323850</xdr:colOff>
      <xdr:row>275</xdr:row>
      <xdr:rowOff>120650</xdr:rowOff>
    </xdr:to>
    <xdr:sp macro="" textlink="">
      <xdr:nvSpPr>
        <xdr:cNvPr id="134" name="Frame 133">
          <a:extLst>
            <a:ext uri="{FF2B5EF4-FFF2-40B4-BE49-F238E27FC236}">
              <a16:creationId xmlns:a16="http://schemas.microsoft.com/office/drawing/2014/main" id="{9F62A957-34F3-4B46-8CDB-266C8E60304E}"/>
            </a:ext>
          </a:extLst>
        </xdr:cNvPr>
        <xdr:cNvSpPr/>
      </xdr:nvSpPr>
      <xdr:spPr>
        <a:xfrm>
          <a:off x="0" y="46335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276</xdr:row>
      <xdr:rowOff>0</xdr:rowOff>
    </xdr:from>
    <xdr:to>
      <xdr:col>0</xdr:col>
      <xdr:colOff>323850</xdr:colOff>
      <xdr:row>277</xdr:row>
      <xdr:rowOff>120650</xdr:rowOff>
    </xdr:to>
    <xdr:sp macro="" textlink="">
      <xdr:nvSpPr>
        <xdr:cNvPr id="135" name="Frame 134">
          <a:extLst>
            <a:ext uri="{FF2B5EF4-FFF2-40B4-BE49-F238E27FC236}">
              <a16:creationId xmlns:a16="http://schemas.microsoft.com/office/drawing/2014/main" id="{1EA08785-F7B9-4853-A9AD-60E2586A40DF}"/>
            </a:ext>
          </a:extLst>
        </xdr:cNvPr>
        <xdr:cNvSpPr/>
      </xdr:nvSpPr>
      <xdr:spPr>
        <a:xfrm>
          <a:off x="0" y="46704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278</xdr:row>
      <xdr:rowOff>0</xdr:rowOff>
    </xdr:from>
    <xdr:to>
      <xdr:col>0</xdr:col>
      <xdr:colOff>323850</xdr:colOff>
      <xdr:row>279</xdr:row>
      <xdr:rowOff>120650</xdr:rowOff>
    </xdr:to>
    <xdr:sp macro="" textlink="">
      <xdr:nvSpPr>
        <xdr:cNvPr id="136" name="Frame 135">
          <a:extLst>
            <a:ext uri="{FF2B5EF4-FFF2-40B4-BE49-F238E27FC236}">
              <a16:creationId xmlns:a16="http://schemas.microsoft.com/office/drawing/2014/main" id="{3A2DA397-C727-43EF-865F-15827AC93B08}"/>
            </a:ext>
          </a:extLst>
        </xdr:cNvPr>
        <xdr:cNvSpPr/>
      </xdr:nvSpPr>
      <xdr:spPr>
        <a:xfrm>
          <a:off x="0" y="47072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323850</xdr:colOff>
      <xdr:row>287</xdr:row>
      <xdr:rowOff>120650</xdr:rowOff>
    </xdr:to>
    <xdr:sp macro="" textlink="">
      <xdr:nvSpPr>
        <xdr:cNvPr id="137" name="Frame 136">
          <a:extLst>
            <a:ext uri="{FF2B5EF4-FFF2-40B4-BE49-F238E27FC236}">
              <a16:creationId xmlns:a16="http://schemas.microsoft.com/office/drawing/2014/main" id="{9080C2EE-DC13-4FE8-AA08-DD2742A7EDC7}"/>
            </a:ext>
          </a:extLst>
        </xdr:cNvPr>
        <xdr:cNvSpPr/>
      </xdr:nvSpPr>
      <xdr:spPr>
        <a:xfrm>
          <a:off x="0" y="4999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323850</xdr:colOff>
      <xdr:row>287</xdr:row>
      <xdr:rowOff>120650</xdr:rowOff>
    </xdr:to>
    <xdr:sp macro="" textlink="">
      <xdr:nvSpPr>
        <xdr:cNvPr id="138" name="Frame 137">
          <a:extLst>
            <a:ext uri="{FF2B5EF4-FFF2-40B4-BE49-F238E27FC236}">
              <a16:creationId xmlns:a16="http://schemas.microsoft.com/office/drawing/2014/main" id="{DB337A66-EE16-4296-8084-971F85FD5A47}"/>
            </a:ext>
          </a:extLst>
        </xdr:cNvPr>
        <xdr:cNvSpPr/>
      </xdr:nvSpPr>
      <xdr:spPr>
        <a:xfrm>
          <a:off x="0" y="4999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323850</xdr:colOff>
      <xdr:row>287</xdr:row>
      <xdr:rowOff>120650</xdr:rowOff>
    </xdr:to>
    <xdr:sp macro="" textlink="">
      <xdr:nvSpPr>
        <xdr:cNvPr id="139" name="Frame 138">
          <a:extLst>
            <a:ext uri="{FF2B5EF4-FFF2-40B4-BE49-F238E27FC236}">
              <a16:creationId xmlns:a16="http://schemas.microsoft.com/office/drawing/2014/main" id="{6B8EF700-2025-418A-B2AF-CCFA079474C4}"/>
            </a:ext>
          </a:extLst>
        </xdr:cNvPr>
        <xdr:cNvSpPr/>
      </xdr:nvSpPr>
      <xdr:spPr>
        <a:xfrm>
          <a:off x="0" y="4999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323850</xdr:colOff>
      <xdr:row>289</xdr:row>
      <xdr:rowOff>120650</xdr:rowOff>
    </xdr:to>
    <xdr:sp macro="" textlink="">
      <xdr:nvSpPr>
        <xdr:cNvPr id="140" name="Frame 139">
          <a:extLst>
            <a:ext uri="{FF2B5EF4-FFF2-40B4-BE49-F238E27FC236}">
              <a16:creationId xmlns:a16="http://schemas.microsoft.com/office/drawing/2014/main" id="{65BCE426-AAB6-4968-9199-5E905E666604}"/>
            </a:ext>
          </a:extLst>
        </xdr:cNvPr>
        <xdr:cNvSpPr/>
      </xdr:nvSpPr>
      <xdr:spPr>
        <a:xfrm>
          <a:off x="0" y="50368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0</xdr:col>
      <xdr:colOff>323850</xdr:colOff>
      <xdr:row>291</xdr:row>
      <xdr:rowOff>120650</xdr:rowOff>
    </xdr:to>
    <xdr:sp macro="" textlink="">
      <xdr:nvSpPr>
        <xdr:cNvPr id="141" name="Frame 140">
          <a:extLst>
            <a:ext uri="{FF2B5EF4-FFF2-40B4-BE49-F238E27FC236}">
              <a16:creationId xmlns:a16="http://schemas.microsoft.com/office/drawing/2014/main" id="{950F04CB-B929-4DF7-8521-10CF27F0C07B}"/>
            </a:ext>
          </a:extLst>
        </xdr:cNvPr>
        <xdr:cNvSpPr/>
      </xdr:nvSpPr>
      <xdr:spPr>
        <a:xfrm>
          <a:off x="0" y="50736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323850</xdr:colOff>
      <xdr:row>287</xdr:row>
      <xdr:rowOff>120650</xdr:rowOff>
    </xdr:to>
    <xdr:sp macro="" textlink="">
      <xdr:nvSpPr>
        <xdr:cNvPr id="143" name="Frame 142">
          <a:extLst>
            <a:ext uri="{FF2B5EF4-FFF2-40B4-BE49-F238E27FC236}">
              <a16:creationId xmlns:a16="http://schemas.microsoft.com/office/drawing/2014/main" id="{7E3391E1-160A-41E2-AFF4-30E72BF8F41A}"/>
            </a:ext>
          </a:extLst>
        </xdr:cNvPr>
        <xdr:cNvSpPr/>
      </xdr:nvSpPr>
      <xdr:spPr>
        <a:xfrm>
          <a:off x="0" y="49999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323850</xdr:colOff>
      <xdr:row>289</xdr:row>
      <xdr:rowOff>120650</xdr:rowOff>
    </xdr:to>
    <xdr:sp macro="" textlink="">
      <xdr:nvSpPr>
        <xdr:cNvPr id="144" name="Frame 143">
          <a:extLst>
            <a:ext uri="{FF2B5EF4-FFF2-40B4-BE49-F238E27FC236}">
              <a16:creationId xmlns:a16="http://schemas.microsoft.com/office/drawing/2014/main" id="{DF8FE1C7-D08C-407A-B7E7-F9116B6516B1}"/>
            </a:ext>
          </a:extLst>
        </xdr:cNvPr>
        <xdr:cNvSpPr/>
      </xdr:nvSpPr>
      <xdr:spPr>
        <a:xfrm>
          <a:off x="0" y="50368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0</xdr:col>
      <xdr:colOff>323850</xdr:colOff>
      <xdr:row>291</xdr:row>
      <xdr:rowOff>120650</xdr:rowOff>
    </xdr:to>
    <xdr:sp macro="" textlink="">
      <xdr:nvSpPr>
        <xdr:cNvPr id="145" name="Frame 144">
          <a:extLst>
            <a:ext uri="{FF2B5EF4-FFF2-40B4-BE49-F238E27FC236}">
              <a16:creationId xmlns:a16="http://schemas.microsoft.com/office/drawing/2014/main" id="{8D88B13B-DC88-42D6-B303-8C385048F1A5}"/>
            </a:ext>
          </a:extLst>
        </xdr:cNvPr>
        <xdr:cNvSpPr/>
      </xdr:nvSpPr>
      <xdr:spPr>
        <a:xfrm>
          <a:off x="0" y="50736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323850</xdr:colOff>
      <xdr:row>293</xdr:row>
      <xdr:rowOff>120650</xdr:rowOff>
    </xdr:to>
    <xdr:sp macro="" textlink="">
      <xdr:nvSpPr>
        <xdr:cNvPr id="147" name="Frame 146">
          <a:extLst>
            <a:ext uri="{FF2B5EF4-FFF2-40B4-BE49-F238E27FC236}">
              <a16:creationId xmlns:a16="http://schemas.microsoft.com/office/drawing/2014/main" id="{C1C08A3D-E787-49F1-AB4F-4EE28B63EE5C}"/>
            </a:ext>
          </a:extLst>
        </xdr:cNvPr>
        <xdr:cNvSpPr/>
      </xdr:nvSpPr>
      <xdr:spPr>
        <a:xfrm>
          <a:off x="0" y="53822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323850</xdr:colOff>
      <xdr:row>311</xdr:row>
      <xdr:rowOff>120650</xdr:rowOff>
    </xdr:to>
    <xdr:sp macro="" textlink="">
      <xdr:nvSpPr>
        <xdr:cNvPr id="148" name="Frame 147">
          <a:extLst>
            <a:ext uri="{FF2B5EF4-FFF2-40B4-BE49-F238E27FC236}">
              <a16:creationId xmlns:a16="http://schemas.microsoft.com/office/drawing/2014/main" id="{58DDC5CA-5D43-47C4-A358-5C2529B52900}"/>
            </a:ext>
          </a:extLst>
        </xdr:cNvPr>
        <xdr:cNvSpPr/>
      </xdr:nvSpPr>
      <xdr:spPr>
        <a:xfrm>
          <a:off x="0" y="1007173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0</xdr:col>
      <xdr:colOff>323850</xdr:colOff>
      <xdr:row>313</xdr:row>
      <xdr:rowOff>120650</xdr:rowOff>
    </xdr:to>
    <xdr:sp macro="" textlink="">
      <xdr:nvSpPr>
        <xdr:cNvPr id="149" name="Frame 148">
          <a:extLst>
            <a:ext uri="{FF2B5EF4-FFF2-40B4-BE49-F238E27FC236}">
              <a16:creationId xmlns:a16="http://schemas.microsoft.com/office/drawing/2014/main" id="{50CDB61B-C9B2-4082-A46B-BCCA5B3EAA38}"/>
            </a:ext>
          </a:extLst>
        </xdr:cNvPr>
        <xdr:cNvSpPr/>
      </xdr:nvSpPr>
      <xdr:spPr>
        <a:xfrm>
          <a:off x="0" y="1010856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314</xdr:row>
      <xdr:rowOff>0</xdr:rowOff>
    </xdr:from>
    <xdr:to>
      <xdr:col>0</xdr:col>
      <xdr:colOff>323850</xdr:colOff>
      <xdr:row>315</xdr:row>
      <xdr:rowOff>120650</xdr:rowOff>
    </xdr:to>
    <xdr:sp macro="" textlink="">
      <xdr:nvSpPr>
        <xdr:cNvPr id="150" name="Frame 149">
          <a:extLst>
            <a:ext uri="{FF2B5EF4-FFF2-40B4-BE49-F238E27FC236}">
              <a16:creationId xmlns:a16="http://schemas.microsoft.com/office/drawing/2014/main" id="{E185B2BB-5093-4E72-B7AE-BD5BCC543EDB}"/>
            </a:ext>
          </a:extLst>
        </xdr:cNvPr>
        <xdr:cNvSpPr/>
      </xdr:nvSpPr>
      <xdr:spPr>
        <a:xfrm>
          <a:off x="0" y="1014539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0</xdr:col>
      <xdr:colOff>323850</xdr:colOff>
      <xdr:row>317</xdr:row>
      <xdr:rowOff>120650</xdr:rowOff>
    </xdr:to>
    <xdr:sp macro="" textlink="">
      <xdr:nvSpPr>
        <xdr:cNvPr id="151" name="Frame 150">
          <a:extLst>
            <a:ext uri="{FF2B5EF4-FFF2-40B4-BE49-F238E27FC236}">
              <a16:creationId xmlns:a16="http://schemas.microsoft.com/office/drawing/2014/main" id="{3076CDB4-C3E1-4B76-AB48-5244947ECEAA}"/>
            </a:ext>
          </a:extLst>
        </xdr:cNvPr>
        <xdr:cNvSpPr/>
      </xdr:nvSpPr>
      <xdr:spPr>
        <a:xfrm>
          <a:off x="0" y="1018222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318</xdr:row>
      <xdr:rowOff>0</xdr:rowOff>
    </xdr:from>
    <xdr:to>
      <xdr:col>0</xdr:col>
      <xdr:colOff>323850</xdr:colOff>
      <xdr:row>319</xdr:row>
      <xdr:rowOff>120650</xdr:rowOff>
    </xdr:to>
    <xdr:sp macro="" textlink="">
      <xdr:nvSpPr>
        <xdr:cNvPr id="152" name="Frame 151">
          <a:extLst>
            <a:ext uri="{FF2B5EF4-FFF2-40B4-BE49-F238E27FC236}">
              <a16:creationId xmlns:a16="http://schemas.microsoft.com/office/drawing/2014/main" id="{9EDA067B-90FB-4685-9F78-0B270435F731}"/>
            </a:ext>
          </a:extLst>
        </xdr:cNvPr>
        <xdr:cNvSpPr/>
      </xdr:nvSpPr>
      <xdr:spPr>
        <a:xfrm>
          <a:off x="0" y="1021905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320</xdr:row>
      <xdr:rowOff>0</xdr:rowOff>
    </xdr:from>
    <xdr:to>
      <xdr:col>0</xdr:col>
      <xdr:colOff>323850</xdr:colOff>
      <xdr:row>321</xdr:row>
      <xdr:rowOff>120650</xdr:rowOff>
    </xdr:to>
    <xdr:sp macro="" textlink="">
      <xdr:nvSpPr>
        <xdr:cNvPr id="153" name="Frame 152">
          <a:extLst>
            <a:ext uri="{FF2B5EF4-FFF2-40B4-BE49-F238E27FC236}">
              <a16:creationId xmlns:a16="http://schemas.microsoft.com/office/drawing/2014/main" id="{EE1A6B3F-A50E-4AC2-BEA4-FF2C490B2100}"/>
            </a:ext>
          </a:extLst>
        </xdr:cNvPr>
        <xdr:cNvSpPr/>
      </xdr:nvSpPr>
      <xdr:spPr>
        <a:xfrm>
          <a:off x="0" y="1025588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322</xdr:row>
      <xdr:rowOff>0</xdr:rowOff>
    </xdr:from>
    <xdr:to>
      <xdr:col>0</xdr:col>
      <xdr:colOff>323850</xdr:colOff>
      <xdr:row>323</xdr:row>
      <xdr:rowOff>120650</xdr:rowOff>
    </xdr:to>
    <xdr:sp macro="" textlink="">
      <xdr:nvSpPr>
        <xdr:cNvPr id="154" name="Frame 153">
          <a:extLst>
            <a:ext uri="{FF2B5EF4-FFF2-40B4-BE49-F238E27FC236}">
              <a16:creationId xmlns:a16="http://schemas.microsoft.com/office/drawing/2014/main" id="{92AEA0F9-4ABD-417C-B758-DE9471D2ECBF}"/>
            </a:ext>
          </a:extLst>
        </xdr:cNvPr>
        <xdr:cNvSpPr/>
      </xdr:nvSpPr>
      <xdr:spPr>
        <a:xfrm>
          <a:off x="0" y="1029271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0</xdr:col>
      <xdr:colOff>323850</xdr:colOff>
      <xdr:row>325</xdr:row>
      <xdr:rowOff>120650</xdr:rowOff>
    </xdr:to>
    <xdr:sp macro="" textlink="">
      <xdr:nvSpPr>
        <xdr:cNvPr id="155" name="Frame 154">
          <a:extLst>
            <a:ext uri="{FF2B5EF4-FFF2-40B4-BE49-F238E27FC236}">
              <a16:creationId xmlns:a16="http://schemas.microsoft.com/office/drawing/2014/main" id="{CED1D626-33CA-4F87-B3CC-3407C529B60E}"/>
            </a:ext>
          </a:extLst>
        </xdr:cNvPr>
        <xdr:cNvSpPr/>
      </xdr:nvSpPr>
      <xdr:spPr>
        <a:xfrm>
          <a:off x="0" y="10329545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326</xdr:row>
      <xdr:rowOff>0</xdr:rowOff>
    </xdr:from>
    <xdr:to>
      <xdr:col>0</xdr:col>
      <xdr:colOff>323850</xdr:colOff>
      <xdr:row>327</xdr:row>
      <xdr:rowOff>120650</xdr:rowOff>
    </xdr:to>
    <xdr:sp macro="" textlink="">
      <xdr:nvSpPr>
        <xdr:cNvPr id="156" name="Frame 155">
          <a:extLst>
            <a:ext uri="{FF2B5EF4-FFF2-40B4-BE49-F238E27FC236}">
              <a16:creationId xmlns:a16="http://schemas.microsoft.com/office/drawing/2014/main" id="{A1AB4890-33AE-42E1-AAFB-2A704DAC3323}"/>
            </a:ext>
          </a:extLst>
        </xdr:cNvPr>
        <xdr:cNvSpPr/>
      </xdr:nvSpPr>
      <xdr:spPr>
        <a:xfrm>
          <a:off x="0" y="6024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0</xdr:col>
      <xdr:colOff>323850</xdr:colOff>
      <xdr:row>329</xdr:row>
      <xdr:rowOff>120650</xdr:rowOff>
    </xdr:to>
    <xdr:sp macro="" textlink="">
      <xdr:nvSpPr>
        <xdr:cNvPr id="157" name="Frame 156">
          <a:extLst>
            <a:ext uri="{FF2B5EF4-FFF2-40B4-BE49-F238E27FC236}">
              <a16:creationId xmlns:a16="http://schemas.microsoft.com/office/drawing/2014/main" id="{4652EFDD-16B9-49E0-848B-AE297A92D053}"/>
            </a:ext>
          </a:extLst>
        </xdr:cNvPr>
        <xdr:cNvSpPr/>
      </xdr:nvSpPr>
      <xdr:spPr>
        <a:xfrm>
          <a:off x="0" y="606171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343</xdr:row>
      <xdr:rowOff>0</xdr:rowOff>
    </xdr:from>
    <xdr:to>
      <xdr:col>0</xdr:col>
      <xdr:colOff>323850</xdr:colOff>
      <xdr:row>344</xdr:row>
      <xdr:rowOff>120650</xdr:rowOff>
    </xdr:to>
    <xdr:sp macro="" textlink="">
      <xdr:nvSpPr>
        <xdr:cNvPr id="142" name="Frame 141">
          <a:extLst>
            <a:ext uri="{FF2B5EF4-FFF2-40B4-BE49-F238E27FC236}">
              <a16:creationId xmlns:a16="http://schemas.microsoft.com/office/drawing/2014/main" id="{E1A504EE-8781-4408-BF34-B2A792F6A1F1}"/>
            </a:ext>
          </a:extLst>
        </xdr:cNvPr>
        <xdr:cNvSpPr/>
      </xdr:nvSpPr>
      <xdr:spPr>
        <a:xfrm>
          <a:off x="0" y="573024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345</xdr:row>
      <xdr:rowOff>0</xdr:rowOff>
    </xdr:from>
    <xdr:to>
      <xdr:col>0</xdr:col>
      <xdr:colOff>323850</xdr:colOff>
      <xdr:row>346</xdr:row>
      <xdr:rowOff>120650</xdr:rowOff>
    </xdr:to>
    <xdr:sp macro="" textlink="">
      <xdr:nvSpPr>
        <xdr:cNvPr id="146" name="Frame 145">
          <a:extLst>
            <a:ext uri="{FF2B5EF4-FFF2-40B4-BE49-F238E27FC236}">
              <a16:creationId xmlns:a16="http://schemas.microsoft.com/office/drawing/2014/main" id="{F0F0B7E6-F78E-43F3-895B-91199F712D8A}"/>
            </a:ext>
          </a:extLst>
        </xdr:cNvPr>
        <xdr:cNvSpPr/>
      </xdr:nvSpPr>
      <xdr:spPr>
        <a:xfrm>
          <a:off x="0" y="576707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347</xdr:row>
      <xdr:rowOff>0</xdr:rowOff>
    </xdr:from>
    <xdr:to>
      <xdr:col>0</xdr:col>
      <xdr:colOff>323850</xdr:colOff>
      <xdr:row>348</xdr:row>
      <xdr:rowOff>120650</xdr:rowOff>
    </xdr:to>
    <xdr:sp macro="" textlink="">
      <xdr:nvSpPr>
        <xdr:cNvPr id="158" name="Frame 157">
          <a:extLst>
            <a:ext uri="{FF2B5EF4-FFF2-40B4-BE49-F238E27FC236}">
              <a16:creationId xmlns:a16="http://schemas.microsoft.com/office/drawing/2014/main" id="{527EC312-AF28-40DF-87BF-B4C67540F762}"/>
            </a:ext>
          </a:extLst>
        </xdr:cNvPr>
        <xdr:cNvSpPr/>
      </xdr:nvSpPr>
      <xdr:spPr>
        <a:xfrm>
          <a:off x="0" y="580390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323850</xdr:colOff>
      <xdr:row>350</xdr:row>
      <xdr:rowOff>120650</xdr:rowOff>
    </xdr:to>
    <xdr:sp macro="" textlink="">
      <xdr:nvSpPr>
        <xdr:cNvPr id="159" name="Frame 158">
          <a:extLst>
            <a:ext uri="{FF2B5EF4-FFF2-40B4-BE49-F238E27FC236}">
              <a16:creationId xmlns:a16="http://schemas.microsoft.com/office/drawing/2014/main" id="{5E076B48-9FDC-4A01-8C7B-287112E2A586}"/>
            </a:ext>
          </a:extLst>
        </xdr:cNvPr>
        <xdr:cNvSpPr/>
      </xdr:nvSpPr>
      <xdr:spPr>
        <a:xfrm>
          <a:off x="0" y="584073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0</xdr:col>
      <xdr:colOff>323850</xdr:colOff>
      <xdr:row>352</xdr:row>
      <xdr:rowOff>120650</xdr:rowOff>
    </xdr:to>
    <xdr:sp macro="" textlink="">
      <xdr:nvSpPr>
        <xdr:cNvPr id="160" name="Frame 159">
          <a:extLst>
            <a:ext uri="{FF2B5EF4-FFF2-40B4-BE49-F238E27FC236}">
              <a16:creationId xmlns:a16="http://schemas.microsoft.com/office/drawing/2014/main" id="{644C07BC-CD69-4E07-8711-C01FF91609C5}"/>
            </a:ext>
          </a:extLst>
        </xdr:cNvPr>
        <xdr:cNvSpPr/>
      </xdr:nvSpPr>
      <xdr:spPr>
        <a:xfrm>
          <a:off x="0" y="587756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0</xdr:col>
      <xdr:colOff>323850</xdr:colOff>
      <xdr:row>354</xdr:row>
      <xdr:rowOff>120650</xdr:rowOff>
    </xdr:to>
    <xdr:sp macro="" textlink="">
      <xdr:nvSpPr>
        <xdr:cNvPr id="161" name="Frame 160">
          <a:extLst>
            <a:ext uri="{FF2B5EF4-FFF2-40B4-BE49-F238E27FC236}">
              <a16:creationId xmlns:a16="http://schemas.microsoft.com/office/drawing/2014/main" id="{AAB6E07D-CF73-431F-81C8-AFABE65DCDBB}"/>
            </a:ext>
          </a:extLst>
        </xdr:cNvPr>
        <xdr:cNvSpPr/>
      </xdr:nvSpPr>
      <xdr:spPr>
        <a:xfrm>
          <a:off x="0" y="591439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0</xdr:col>
      <xdr:colOff>323850</xdr:colOff>
      <xdr:row>356</xdr:row>
      <xdr:rowOff>120650</xdr:rowOff>
    </xdr:to>
    <xdr:sp macro="" textlink="">
      <xdr:nvSpPr>
        <xdr:cNvPr id="162" name="Frame 161">
          <a:extLst>
            <a:ext uri="{FF2B5EF4-FFF2-40B4-BE49-F238E27FC236}">
              <a16:creationId xmlns:a16="http://schemas.microsoft.com/office/drawing/2014/main" id="{15938164-AAD2-4054-A3D7-79A9AB2D304C}"/>
            </a:ext>
          </a:extLst>
        </xdr:cNvPr>
        <xdr:cNvSpPr/>
      </xdr:nvSpPr>
      <xdr:spPr>
        <a:xfrm>
          <a:off x="0" y="595122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0</xdr:col>
      <xdr:colOff>323850</xdr:colOff>
      <xdr:row>358</xdr:row>
      <xdr:rowOff>120650</xdr:rowOff>
    </xdr:to>
    <xdr:sp macro="" textlink="">
      <xdr:nvSpPr>
        <xdr:cNvPr id="163" name="Frame 162">
          <a:extLst>
            <a:ext uri="{FF2B5EF4-FFF2-40B4-BE49-F238E27FC236}">
              <a16:creationId xmlns:a16="http://schemas.microsoft.com/office/drawing/2014/main" id="{BD1869EE-6B73-441A-B1F8-3717A9A87B1D}"/>
            </a:ext>
          </a:extLst>
        </xdr:cNvPr>
        <xdr:cNvSpPr/>
      </xdr:nvSpPr>
      <xdr:spPr>
        <a:xfrm>
          <a:off x="0" y="598805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359</xdr:row>
      <xdr:rowOff>0</xdr:rowOff>
    </xdr:from>
    <xdr:to>
      <xdr:col>0</xdr:col>
      <xdr:colOff>323850</xdr:colOff>
      <xdr:row>360</xdr:row>
      <xdr:rowOff>120650</xdr:rowOff>
    </xdr:to>
    <xdr:sp macro="" textlink="">
      <xdr:nvSpPr>
        <xdr:cNvPr id="164" name="Frame 163">
          <a:extLst>
            <a:ext uri="{FF2B5EF4-FFF2-40B4-BE49-F238E27FC236}">
              <a16:creationId xmlns:a16="http://schemas.microsoft.com/office/drawing/2014/main" id="{9DA63A4F-D686-4786-8A6B-25D5005DE84E}"/>
            </a:ext>
          </a:extLst>
        </xdr:cNvPr>
        <xdr:cNvSpPr/>
      </xdr:nvSpPr>
      <xdr:spPr>
        <a:xfrm>
          <a:off x="0" y="60248800"/>
          <a:ext cx="323850" cy="304800"/>
        </a:xfrm>
        <a:prstGeom prst="fram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D7DE-28D3-477C-800F-88AEE11679C5}">
  <sheetPr>
    <pageSetUpPr fitToPage="1"/>
  </sheetPr>
  <dimension ref="A1:T150"/>
  <sheetViews>
    <sheetView tabSelected="1" topLeftCell="A8" workbookViewId="0">
      <selection activeCell="B19" sqref="B19"/>
    </sheetView>
  </sheetViews>
  <sheetFormatPr defaultRowHeight="15" x14ac:dyDescent="0.25"/>
  <cols>
    <col min="1" max="1" width="3.85546875" customWidth="1"/>
    <col min="2" max="2" width="38.28515625" customWidth="1"/>
    <col min="3" max="3" width="3.85546875" customWidth="1"/>
    <col min="4" max="4" width="35.5703125" customWidth="1"/>
    <col min="5" max="5" width="3.85546875" customWidth="1"/>
    <col min="6" max="6" width="35.5703125" customWidth="1"/>
    <col min="7" max="7" width="3.85546875" customWidth="1"/>
    <col min="8" max="8" width="38.7109375" customWidth="1"/>
    <col min="9" max="9" width="3.85546875" customWidth="1"/>
    <col min="10" max="10" width="35.5703125" customWidth="1"/>
    <col min="11" max="11" width="3.85546875" customWidth="1"/>
    <col min="12" max="12" width="35.5703125" customWidth="1"/>
    <col min="13" max="13" width="4.140625" customWidth="1"/>
    <col min="14" max="14" width="37.140625" customWidth="1"/>
  </cols>
  <sheetData>
    <row r="1" spans="1:20" ht="15.75" thickBot="1" x14ac:dyDescent="0.3">
      <c r="A1" s="213" t="s">
        <v>0</v>
      </c>
      <c r="B1" s="213"/>
      <c r="C1" s="213"/>
      <c r="D1" s="213"/>
      <c r="E1" s="213"/>
      <c r="F1" s="213"/>
    </row>
    <row r="2" spans="1:20" ht="15.75" thickBot="1" x14ac:dyDescent="0.3">
      <c r="A2" s="214" t="s">
        <v>1</v>
      </c>
      <c r="B2" s="215"/>
      <c r="C2" s="214" t="s">
        <v>2</v>
      </c>
      <c r="D2" s="215"/>
      <c r="E2" s="214" t="s">
        <v>3</v>
      </c>
      <c r="F2" s="215"/>
      <c r="O2" s="1"/>
      <c r="P2" s="1"/>
    </row>
    <row r="3" spans="1:20" ht="14.45" customHeight="1" x14ac:dyDescent="0.25">
      <c r="A3" s="49" t="s">
        <v>4</v>
      </c>
      <c r="B3" s="43" t="s">
        <v>5</v>
      </c>
      <c r="C3" s="49" t="s">
        <v>6</v>
      </c>
      <c r="D3" s="70" t="s">
        <v>7</v>
      </c>
      <c r="E3" s="49">
        <v>200</v>
      </c>
      <c r="F3" s="47" t="s">
        <v>8</v>
      </c>
      <c r="O3" s="38"/>
      <c r="P3" s="38"/>
      <c r="Q3" s="38"/>
      <c r="R3" s="38"/>
      <c r="S3" s="38"/>
      <c r="T3" s="38"/>
    </row>
    <row r="4" spans="1:20" ht="26.25" x14ac:dyDescent="0.25">
      <c r="A4" s="54" t="s">
        <v>9</v>
      </c>
      <c r="B4" s="55" t="s">
        <v>10</v>
      </c>
      <c r="C4" s="56" t="s">
        <v>11</v>
      </c>
      <c r="D4" s="72" t="s">
        <v>12</v>
      </c>
      <c r="E4" s="56">
        <v>201</v>
      </c>
      <c r="F4" s="72" t="s">
        <v>13</v>
      </c>
    </row>
    <row r="5" spans="1:20" ht="26.25" x14ac:dyDescent="0.25">
      <c r="A5" s="50" t="s">
        <v>14</v>
      </c>
      <c r="B5" s="41" t="s">
        <v>15</v>
      </c>
      <c r="C5" s="51" t="s">
        <v>16</v>
      </c>
      <c r="D5" s="70" t="s">
        <v>17</v>
      </c>
      <c r="E5" s="50">
        <v>202</v>
      </c>
      <c r="F5" s="70" t="s">
        <v>18</v>
      </c>
    </row>
    <row r="6" spans="1:20" ht="26.25" x14ac:dyDescent="0.25">
      <c r="A6" s="54" t="s">
        <v>19</v>
      </c>
      <c r="B6" s="69" t="s">
        <v>20</v>
      </c>
      <c r="C6" s="54" t="s">
        <v>21</v>
      </c>
      <c r="D6" s="75" t="s">
        <v>22</v>
      </c>
      <c r="E6" s="54">
        <v>203</v>
      </c>
      <c r="F6" s="55" t="s">
        <v>23</v>
      </c>
    </row>
    <row r="7" spans="1:20" ht="25.5" x14ac:dyDescent="0.25">
      <c r="A7" s="50" t="s">
        <v>24</v>
      </c>
      <c r="B7" s="68" t="s">
        <v>25</v>
      </c>
      <c r="C7" s="50" t="s">
        <v>26</v>
      </c>
      <c r="D7" s="71" t="s">
        <v>27</v>
      </c>
      <c r="E7" s="50">
        <v>204</v>
      </c>
      <c r="F7" s="70" t="s">
        <v>28</v>
      </c>
      <c r="O7" s="38"/>
      <c r="P7" s="38"/>
      <c r="Q7" s="38"/>
      <c r="R7" s="38"/>
      <c r="S7" s="38"/>
      <c r="T7" s="38"/>
    </row>
    <row r="8" spans="1:20" x14ac:dyDescent="0.25">
      <c r="A8" s="54" t="s">
        <v>29</v>
      </c>
      <c r="B8" s="67" t="s">
        <v>30</v>
      </c>
      <c r="C8" s="54" t="s">
        <v>31</v>
      </c>
      <c r="D8" s="69" t="s">
        <v>32</v>
      </c>
      <c r="E8" s="54">
        <v>205</v>
      </c>
      <c r="F8" s="69" t="s">
        <v>33</v>
      </c>
      <c r="O8" s="38"/>
      <c r="P8" s="38"/>
      <c r="Q8" s="38"/>
    </row>
    <row r="9" spans="1:20" ht="26.25" x14ac:dyDescent="0.25">
      <c r="A9" s="50" t="s">
        <v>34</v>
      </c>
      <c r="B9" s="68" t="s">
        <v>35</v>
      </c>
      <c r="C9" s="50" t="s">
        <v>36</v>
      </c>
      <c r="D9" s="41" t="s">
        <v>37</v>
      </c>
      <c r="E9" s="51">
        <v>206</v>
      </c>
      <c r="F9" s="71" t="s">
        <v>38</v>
      </c>
    </row>
    <row r="10" spans="1:20" x14ac:dyDescent="0.25">
      <c r="A10" s="54" t="s">
        <v>39</v>
      </c>
      <c r="B10" s="69" t="s">
        <v>40</v>
      </c>
      <c r="C10" s="54" t="s">
        <v>41</v>
      </c>
      <c r="D10" s="69" t="s">
        <v>42</v>
      </c>
      <c r="E10" s="54">
        <v>207</v>
      </c>
      <c r="F10" s="69" t="s">
        <v>43</v>
      </c>
    </row>
    <row r="11" spans="1:20" x14ac:dyDescent="0.25">
      <c r="A11" s="50" t="s">
        <v>44</v>
      </c>
      <c r="B11" s="68" t="s">
        <v>45</v>
      </c>
      <c r="C11" s="50" t="s">
        <v>46</v>
      </c>
      <c r="D11" s="70" t="s">
        <v>47</v>
      </c>
      <c r="E11" s="50">
        <v>208</v>
      </c>
      <c r="F11" s="71" t="s">
        <v>48</v>
      </c>
    </row>
    <row r="12" spans="1:20" ht="26.25" x14ac:dyDescent="0.25">
      <c r="A12" s="54" t="s">
        <v>49</v>
      </c>
      <c r="B12" s="61" t="s">
        <v>50</v>
      </c>
      <c r="C12" s="54" t="s">
        <v>51</v>
      </c>
      <c r="D12" s="69" t="s">
        <v>52</v>
      </c>
      <c r="E12" s="54">
        <v>209</v>
      </c>
      <c r="F12" s="55" t="s">
        <v>53</v>
      </c>
    </row>
    <row r="13" spans="1:20" ht="14.45" customHeight="1" x14ac:dyDescent="0.25">
      <c r="A13" s="50" t="s">
        <v>54</v>
      </c>
      <c r="B13" s="46" t="s">
        <v>55</v>
      </c>
      <c r="C13" s="50" t="s">
        <v>56</v>
      </c>
      <c r="D13" s="42" t="s">
        <v>57</v>
      </c>
      <c r="E13" s="50">
        <v>210</v>
      </c>
      <c r="F13" s="42" t="s">
        <v>58</v>
      </c>
      <c r="O13" s="38"/>
      <c r="P13" s="38"/>
      <c r="Q13" s="38"/>
    </row>
    <row r="14" spans="1:20" x14ac:dyDescent="0.25">
      <c r="A14" s="54" t="s">
        <v>59</v>
      </c>
      <c r="B14" s="67" t="s">
        <v>60</v>
      </c>
      <c r="C14" s="54" t="s">
        <v>61</v>
      </c>
      <c r="D14" s="69" t="s">
        <v>62</v>
      </c>
      <c r="E14" s="54">
        <v>211</v>
      </c>
      <c r="F14" s="69" t="s">
        <v>63</v>
      </c>
    </row>
    <row r="15" spans="1:20" ht="25.5" x14ac:dyDescent="0.25">
      <c r="A15" s="50" t="s">
        <v>64</v>
      </c>
      <c r="B15" s="70" t="s">
        <v>65</v>
      </c>
      <c r="C15" s="50" t="s">
        <v>66</v>
      </c>
      <c r="D15" s="71" t="s">
        <v>67</v>
      </c>
      <c r="E15" s="50">
        <v>212</v>
      </c>
      <c r="F15" s="70" t="s">
        <v>68</v>
      </c>
    </row>
    <row r="16" spans="1:20" x14ac:dyDescent="0.25">
      <c r="A16" s="54" t="s">
        <v>69</v>
      </c>
      <c r="B16" s="67" t="s">
        <v>70</v>
      </c>
      <c r="C16" s="54" t="s">
        <v>71</v>
      </c>
      <c r="D16" s="69" t="s">
        <v>72</v>
      </c>
      <c r="E16" s="54">
        <v>213</v>
      </c>
      <c r="F16" s="69" t="s">
        <v>73</v>
      </c>
    </row>
    <row r="17" spans="1:6" x14ac:dyDescent="0.25">
      <c r="A17" s="50" t="s">
        <v>74</v>
      </c>
      <c r="B17" s="70" t="s">
        <v>75</v>
      </c>
      <c r="C17" s="50" t="s">
        <v>76</v>
      </c>
      <c r="D17" s="71" t="s">
        <v>77</v>
      </c>
      <c r="E17" s="50">
        <v>214</v>
      </c>
      <c r="F17" s="70" t="s">
        <v>78</v>
      </c>
    </row>
    <row r="18" spans="1:6" ht="26.25" x14ac:dyDescent="0.25">
      <c r="A18" s="54" t="s">
        <v>79</v>
      </c>
      <c r="B18" s="67" t="s">
        <v>80</v>
      </c>
      <c r="C18" s="54" t="s">
        <v>81</v>
      </c>
      <c r="D18" s="55" t="s">
        <v>82</v>
      </c>
      <c r="E18" s="54">
        <v>215</v>
      </c>
      <c r="F18" s="72" t="s">
        <v>83</v>
      </c>
    </row>
    <row r="19" spans="1:6" ht="26.25" x14ac:dyDescent="0.25">
      <c r="A19" s="50" t="s">
        <v>84</v>
      </c>
      <c r="B19" s="68" t="s">
        <v>85</v>
      </c>
      <c r="C19" s="50" t="s">
        <v>86</v>
      </c>
      <c r="D19" s="41" t="s">
        <v>87</v>
      </c>
      <c r="E19" s="50">
        <v>216</v>
      </c>
      <c r="F19" s="71" t="s">
        <v>88</v>
      </c>
    </row>
    <row r="20" spans="1:6" ht="26.25" x14ac:dyDescent="0.25">
      <c r="A20" s="54" t="s">
        <v>89</v>
      </c>
      <c r="B20" s="55" t="s">
        <v>90</v>
      </c>
      <c r="C20" s="56" t="s">
        <v>91</v>
      </c>
      <c r="D20" s="72" t="s">
        <v>92</v>
      </c>
      <c r="E20" s="56">
        <v>217</v>
      </c>
      <c r="F20" s="69" t="s">
        <v>93</v>
      </c>
    </row>
    <row r="21" spans="1:6" ht="26.25" x14ac:dyDescent="0.25">
      <c r="A21" s="50" t="s">
        <v>94</v>
      </c>
      <c r="B21" s="45" t="s">
        <v>95</v>
      </c>
      <c r="C21" s="50" t="s">
        <v>96</v>
      </c>
      <c r="D21" s="70" t="s">
        <v>97</v>
      </c>
      <c r="E21" s="50">
        <v>218</v>
      </c>
      <c r="F21" s="70" t="s">
        <v>98</v>
      </c>
    </row>
    <row r="22" spans="1:6" ht="26.25" x14ac:dyDescent="0.25">
      <c r="A22" s="54" t="s">
        <v>99</v>
      </c>
      <c r="B22" s="69" t="s">
        <v>100</v>
      </c>
      <c r="C22" s="54" t="s">
        <v>101</v>
      </c>
      <c r="D22" s="55" t="s">
        <v>102</v>
      </c>
      <c r="E22" s="54">
        <v>219</v>
      </c>
      <c r="F22" s="69" t="s">
        <v>103</v>
      </c>
    </row>
    <row r="23" spans="1:6" ht="26.25" x14ac:dyDescent="0.25">
      <c r="A23" s="50" t="s">
        <v>104</v>
      </c>
      <c r="B23" s="68" t="s">
        <v>105</v>
      </c>
      <c r="C23" s="50" t="s">
        <v>106</v>
      </c>
      <c r="D23" s="119" t="s">
        <v>107</v>
      </c>
      <c r="E23" s="50">
        <v>220</v>
      </c>
      <c r="F23" s="41" t="s">
        <v>108</v>
      </c>
    </row>
    <row r="24" spans="1:6" ht="26.25" x14ac:dyDescent="0.25">
      <c r="A24" s="54" t="s">
        <v>109</v>
      </c>
      <c r="B24" s="67" t="s">
        <v>110</v>
      </c>
      <c r="C24" s="54" t="s">
        <v>111</v>
      </c>
      <c r="D24" s="55" t="s">
        <v>112</v>
      </c>
      <c r="E24" s="54" t="s">
        <v>113</v>
      </c>
      <c r="F24" s="69" t="s">
        <v>114</v>
      </c>
    </row>
    <row r="25" spans="1:6" ht="14.45" customHeight="1" x14ac:dyDescent="0.25">
      <c r="A25" s="50" t="s">
        <v>115</v>
      </c>
      <c r="B25" s="44" t="s">
        <v>116</v>
      </c>
      <c r="C25" s="50"/>
      <c r="D25" s="40"/>
      <c r="E25" s="50" t="s">
        <v>117</v>
      </c>
      <c r="F25" s="40" t="s">
        <v>118</v>
      </c>
    </row>
    <row r="26" spans="1:6" ht="14.45" customHeight="1" x14ac:dyDescent="0.25">
      <c r="A26" s="54" t="s">
        <v>119</v>
      </c>
      <c r="B26" s="59" t="s">
        <v>120</v>
      </c>
      <c r="C26" s="54"/>
      <c r="D26" s="60"/>
      <c r="E26" s="54" t="s">
        <v>121</v>
      </c>
      <c r="F26" s="60" t="s">
        <v>122</v>
      </c>
    </row>
    <row r="27" spans="1:6" ht="26.25" x14ac:dyDescent="0.25">
      <c r="A27" s="50" t="s">
        <v>123</v>
      </c>
      <c r="B27" s="68" t="s">
        <v>124</v>
      </c>
      <c r="C27" s="50"/>
      <c r="D27" s="40"/>
      <c r="E27" s="50" t="s">
        <v>125</v>
      </c>
      <c r="F27" s="41" t="s">
        <v>126</v>
      </c>
    </row>
    <row r="28" spans="1:6" ht="26.25" x14ac:dyDescent="0.25">
      <c r="A28" s="54" t="s">
        <v>127</v>
      </c>
      <c r="B28" s="121" t="s">
        <v>128</v>
      </c>
      <c r="C28" s="54"/>
      <c r="D28" s="58"/>
      <c r="E28" s="54" t="s">
        <v>129</v>
      </c>
      <c r="F28" s="55" t="s">
        <v>130</v>
      </c>
    </row>
    <row r="29" spans="1:6" x14ac:dyDescent="0.25">
      <c r="A29" s="50" t="s">
        <v>131</v>
      </c>
      <c r="B29" s="44" t="s">
        <v>132</v>
      </c>
      <c r="C29" s="50"/>
      <c r="D29" s="40"/>
      <c r="E29" s="50" t="s">
        <v>133</v>
      </c>
      <c r="F29" s="40" t="s">
        <v>134</v>
      </c>
    </row>
    <row r="30" spans="1:6" x14ac:dyDescent="0.25">
      <c r="A30" s="54" t="s">
        <v>135</v>
      </c>
      <c r="B30" s="67" t="s">
        <v>136</v>
      </c>
      <c r="C30" s="54"/>
      <c r="D30" s="55"/>
      <c r="E30" s="54" t="s">
        <v>137</v>
      </c>
      <c r="F30" s="58" t="s">
        <v>138</v>
      </c>
    </row>
    <row r="31" spans="1:6" x14ac:dyDescent="0.25">
      <c r="A31" s="50" t="s">
        <v>139</v>
      </c>
      <c r="B31" s="44" t="s">
        <v>140</v>
      </c>
      <c r="C31" s="50"/>
      <c r="D31" s="40"/>
      <c r="E31" s="50" t="s">
        <v>141</v>
      </c>
      <c r="F31" s="40" t="s">
        <v>142</v>
      </c>
    </row>
    <row r="32" spans="1:6" x14ac:dyDescent="0.25">
      <c r="A32" s="54" t="s">
        <v>143</v>
      </c>
      <c r="B32" s="58" t="s">
        <v>144</v>
      </c>
      <c r="C32" s="54"/>
      <c r="D32" s="58"/>
      <c r="E32" s="54" t="s">
        <v>145</v>
      </c>
      <c r="F32" s="58" t="s">
        <v>146</v>
      </c>
    </row>
    <row r="33" spans="1:6" ht="26.25" x14ac:dyDescent="0.25">
      <c r="A33" s="50" t="s">
        <v>147</v>
      </c>
      <c r="B33" s="45" t="s">
        <v>148</v>
      </c>
      <c r="C33" s="50"/>
      <c r="D33" s="70"/>
      <c r="E33" s="50" t="s">
        <v>149</v>
      </c>
      <c r="F33" s="70" t="s">
        <v>150</v>
      </c>
    </row>
    <row r="34" spans="1:6" x14ac:dyDescent="0.25">
      <c r="A34" s="54" t="s">
        <v>151</v>
      </c>
      <c r="B34" s="67" t="s">
        <v>152</v>
      </c>
      <c r="C34" s="54"/>
      <c r="D34" s="55"/>
      <c r="E34" s="54" t="s">
        <v>153</v>
      </c>
      <c r="F34" s="58" t="s">
        <v>154</v>
      </c>
    </row>
    <row r="35" spans="1:6" x14ac:dyDescent="0.25">
      <c r="A35" s="50" t="s">
        <v>155</v>
      </c>
      <c r="B35" s="68" t="s">
        <v>156</v>
      </c>
      <c r="C35" s="50"/>
      <c r="D35" s="41"/>
      <c r="E35" s="50" t="s">
        <v>157</v>
      </c>
      <c r="F35" s="42" t="s">
        <v>158</v>
      </c>
    </row>
    <row r="36" spans="1:6" x14ac:dyDescent="0.25">
      <c r="A36" s="54" t="s">
        <v>159</v>
      </c>
      <c r="B36" s="62" t="s">
        <v>160</v>
      </c>
      <c r="C36" s="54"/>
      <c r="D36" s="58"/>
      <c r="E36" s="54"/>
      <c r="F36" s="58"/>
    </row>
    <row r="37" spans="1:6" x14ac:dyDescent="0.25">
      <c r="A37" s="50" t="s">
        <v>161</v>
      </c>
      <c r="B37" s="46" t="s">
        <v>162</v>
      </c>
      <c r="C37" s="50"/>
      <c r="D37" s="42"/>
      <c r="E37" s="50"/>
      <c r="F37" s="42"/>
    </row>
    <row r="38" spans="1:6" x14ac:dyDescent="0.25">
      <c r="A38" s="54" t="s">
        <v>163</v>
      </c>
      <c r="B38" s="62" t="s">
        <v>164</v>
      </c>
      <c r="C38" s="54"/>
      <c r="D38" s="58"/>
      <c r="E38" s="54"/>
      <c r="F38" s="58"/>
    </row>
    <row r="39" spans="1:6" x14ac:dyDescent="0.25">
      <c r="A39" s="50" t="s">
        <v>165</v>
      </c>
      <c r="B39" s="68" t="s">
        <v>166</v>
      </c>
      <c r="C39" s="50"/>
      <c r="D39" s="41"/>
      <c r="E39" s="50"/>
      <c r="F39" s="42"/>
    </row>
    <row r="40" spans="1:6" x14ac:dyDescent="0.25">
      <c r="A40" s="54" t="s">
        <v>167</v>
      </c>
      <c r="B40" s="59" t="s">
        <v>168</v>
      </c>
      <c r="C40" s="54"/>
      <c r="D40" s="60"/>
      <c r="E40" s="54"/>
      <c r="F40" s="60"/>
    </row>
    <row r="41" spans="1:6" x14ac:dyDescent="0.25">
      <c r="A41" s="50" t="s">
        <v>169</v>
      </c>
      <c r="B41" s="44" t="s">
        <v>170</v>
      </c>
      <c r="C41" s="50"/>
      <c r="D41" s="40"/>
      <c r="E41" s="50"/>
      <c r="F41" s="40"/>
    </row>
    <row r="42" spans="1:6" ht="26.25" x14ac:dyDescent="0.25">
      <c r="A42" s="54" t="s">
        <v>171</v>
      </c>
      <c r="B42" s="61" t="s">
        <v>172</v>
      </c>
      <c r="C42" s="54"/>
      <c r="D42" s="60"/>
      <c r="E42" s="54"/>
      <c r="F42" s="60"/>
    </row>
    <row r="43" spans="1:6" ht="26.25" x14ac:dyDescent="0.25">
      <c r="A43" s="50" t="s">
        <v>173</v>
      </c>
      <c r="B43" s="45" t="s">
        <v>174</v>
      </c>
      <c r="C43" s="50"/>
      <c r="D43" s="41"/>
      <c r="E43" s="51"/>
      <c r="F43" s="41"/>
    </row>
    <row r="44" spans="1:6" x14ac:dyDescent="0.25">
      <c r="A44" s="54" t="s">
        <v>175</v>
      </c>
      <c r="B44" s="59" t="s">
        <v>176</v>
      </c>
      <c r="C44" s="54"/>
      <c r="D44" s="60"/>
      <c r="E44" s="54"/>
      <c r="F44" s="60"/>
    </row>
    <row r="45" spans="1:6" x14ac:dyDescent="0.25">
      <c r="A45" s="50" t="s">
        <v>177</v>
      </c>
      <c r="B45" s="42" t="s">
        <v>178</v>
      </c>
      <c r="C45" s="52"/>
      <c r="D45" s="42"/>
      <c r="E45" s="50"/>
      <c r="F45" s="42"/>
    </row>
    <row r="46" spans="1:6" ht="26.25" x14ac:dyDescent="0.25">
      <c r="A46" s="54" t="s">
        <v>179</v>
      </c>
      <c r="B46" s="61" t="s">
        <v>180</v>
      </c>
      <c r="C46" s="63"/>
      <c r="D46" s="60"/>
      <c r="E46" s="54"/>
      <c r="F46" s="60"/>
    </row>
    <row r="47" spans="1:6" x14ac:dyDescent="0.25">
      <c r="A47" s="50" t="s">
        <v>181</v>
      </c>
      <c r="B47" s="44" t="s">
        <v>182</v>
      </c>
      <c r="C47" s="52"/>
      <c r="D47" s="40"/>
      <c r="E47" s="50"/>
      <c r="F47" s="40"/>
    </row>
    <row r="48" spans="1:6" x14ac:dyDescent="0.25">
      <c r="A48" s="54" t="s">
        <v>183</v>
      </c>
      <c r="B48" s="59" t="s">
        <v>184</v>
      </c>
      <c r="C48" s="63"/>
      <c r="D48" s="60"/>
      <c r="E48" s="54"/>
      <c r="F48" s="60"/>
    </row>
    <row r="49" spans="1:15" ht="26.25" x14ac:dyDescent="0.25">
      <c r="A49" s="50" t="s">
        <v>185</v>
      </c>
      <c r="B49" s="45" t="s">
        <v>186</v>
      </c>
      <c r="C49" s="53"/>
      <c r="D49" s="41"/>
      <c r="E49" s="51"/>
      <c r="F49" s="41"/>
    </row>
    <row r="50" spans="1:15" ht="26.25" x14ac:dyDescent="0.25">
      <c r="A50" s="54" t="s">
        <v>187</v>
      </c>
      <c r="B50" s="61" t="s">
        <v>188</v>
      </c>
      <c r="C50" s="63"/>
      <c r="D50" s="60"/>
      <c r="E50" s="63"/>
      <c r="F50" s="60"/>
    </row>
    <row r="51" spans="1:15" ht="26.25" x14ac:dyDescent="0.25">
      <c r="A51" s="50" t="s">
        <v>189</v>
      </c>
      <c r="B51" s="45" t="s">
        <v>190</v>
      </c>
      <c r="C51" s="52"/>
      <c r="D51" s="40"/>
      <c r="E51" s="52"/>
      <c r="F51" s="40"/>
    </row>
    <row r="52" spans="1:15" x14ac:dyDescent="0.25">
      <c r="A52" s="54" t="s">
        <v>191</v>
      </c>
      <c r="B52" s="61" t="s">
        <v>192</v>
      </c>
      <c r="C52" s="63"/>
      <c r="D52" s="60"/>
      <c r="E52" s="63"/>
      <c r="F52" s="60"/>
    </row>
    <row r="53" spans="1:15" x14ac:dyDescent="0.25">
      <c r="A53" s="50" t="s">
        <v>193</v>
      </c>
      <c r="B53" s="42" t="s">
        <v>194</v>
      </c>
      <c r="C53" s="52"/>
      <c r="D53" s="42"/>
      <c r="E53" s="52"/>
      <c r="F53" s="42"/>
    </row>
    <row r="54" spans="1:15" x14ac:dyDescent="0.25">
      <c r="A54" s="147" t="s">
        <v>195</v>
      </c>
      <c r="B54" s="59" t="s">
        <v>196</v>
      </c>
      <c r="C54" s="63"/>
      <c r="D54" s="60"/>
      <c r="E54" s="63"/>
      <c r="F54" s="60"/>
    </row>
    <row r="55" spans="1:15" x14ac:dyDescent="0.25">
      <c r="A55" s="148" t="s">
        <v>197</v>
      </c>
      <c r="B55" s="42" t="s">
        <v>198</v>
      </c>
      <c r="C55" s="52"/>
      <c r="D55" s="42"/>
      <c r="E55" s="52"/>
      <c r="F55" s="42"/>
    </row>
    <row r="56" spans="1:15" ht="26.25" x14ac:dyDescent="0.25">
      <c r="A56" s="147" t="s">
        <v>199</v>
      </c>
      <c r="B56" s="61" t="s">
        <v>200</v>
      </c>
      <c r="C56" s="63"/>
      <c r="D56" s="60"/>
      <c r="E56" s="63"/>
      <c r="F56" s="60"/>
    </row>
    <row r="57" spans="1:15" x14ac:dyDescent="0.25">
      <c r="A57" s="148" t="s">
        <v>201</v>
      </c>
      <c r="B57" s="44" t="s">
        <v>202</v>
      </c>
      <c r="C57" s="52"/>
      <c r="D57" s="40"/>
      <c r="E57" s="52"/>
      <c r="F57" s="40"/>
    </row>
    <row r="58" spans="1:15" x14ac:dyDescent="0.25">
      <c r="A58" s="147" t="s">
        <v>203</v>
      </c>
      <c r="B58" s="59" t="s">
        <v>204</v>
      </c>
      <c r="C58" s="63"/>
      <c r="D58" s="60"/>
      <c r="E58" s="63"/>
      <c r="F58" s="60"/>
    </row>
    <row r="59" spans="1:15" x14ac:dyDescent="0.25">
      <c r="A59" s="148" t="s">
        <v>205</v>
      </c>
      <c r="B59" s="44" t="s">
        <v>206</v>
      </c>
      <c r="C59" s="52"/>
      <c r="D59" s="40"/>
      <c r="E59" s="52"/>
      <c r="F59" s="40"/>
    </row>
    <row r="60" spans="1:15" x14ac:dyDescent="0.25">
      <c r="A60" s="147" t="s">
        <v>207</v>
      </c>
      <c r="B60" s="58" t="s">
        <v>208</v>
      </c>
      <c r="C60" s="63"/>
      <c r="D60" s="58"/>
      <c r="E60" s="63"/>
      <c r="F60" s="58"/>
    </row>
    <row r="61" spans="1:15" ht="26.25" x14ac:dyDescent="0.25">
      <c r="A61" s="148" t="s">
        <v>209</v>
      </c>
      <c r="B61" s="41" t="s">
        <v>210</v>
      </c>
      <c r="C61" s="53"/>
      <c r="D61" s="41"/>
      <c r="E61" s="53"/>
      <c r="F61" s="41"/>
    </row>
    <row r="62" spans="1:15" x14ac:dyDescent="0.25">
      <c r="A62" s="149" t="s">
        <v>211</v>
      </c>
      <c r="B62" s="60" t="s">
        <v>212</v>
      </c>
      <c r="C62" s="76"/>
      <c r="D62" s="60"/>
      <c r="E62" s="76"/>
      <c r="F62" s="60"/>
    </row>
    <row r="63" spans="1:15" x14ac:dyDescent="0.25">
      <c r="A63" s="150" t="s">
        <v>213</v>
      </c>
      <c r="B63" s="40" t="s">
        <v>214</v>
      </c>
      <c r="C63" s="90"/>
      <c r="D63" s="40"/>
      <c r="E63" s="90"/>
      <c r="F63" s="40"/>
    </row>
    <row r="64" spans="1:15" x14ac:dyDescent="0.25">
      <c r="A64" s="149" t="s">
        <v>215</v>
      </c>
      <c r="B64" s="96" t="s">
        <v>216</v>
      </c>
      <c r="C64" s="76"/>
      <c r="D64" s="96"/>
      <c r="E64" s="76"/>
      <c r="F64" s="96"/>
      <c r="O64" s="74"/>
    </row>
    <row r="65" spans="1:15" x14ac:dyDescent="0.25">
      <c r="A65" s="150" t="s">
        <v>217</v>
      </c>
      <c r="B65" s="144" t="s">
        <v>218</v>
      </c>
      <c r="C65" s="90"/>
      <c r="D65" s="144"/>
      <c r="E65" s="90"/>
      <c r="F65" s="144"/>
      <c r="O65" s="91"/>
    </row>
    <row r="66" spans="1:15" x14ac:dyDescent="0.25">
      <c r="A66" s="149" t="s">
        <v>219</v>
      </c>
      <c r="B66" s="152" t="s">
        <v>220</v>
      </c>
      <c r="C66" s="13"/>
      <c r="D66" s="152"/>
      <c r="E66" s="13"/>
      <c r="F66" s="152"/>
    </row>
    <row r="67" spans="1:15" x14ac:dyDescent="0.25">
      <c r="A67" s="150" t="s">
        <v>221</v>
      </c>
      <c r="B67" s="144" t="s">
        <v>222</v>
      </c>
      <c r="C67" s="14"/>
      <c r="D67" s="144"/>
      <c r="E67" s="14"/>
      <c r="F67" s="144"/>
    </row>
    <row r="68" spans="1:15" x14ac:dyDescent="0.25">
      <c r="A68" s="149" t="s">
        <v>223</v>
      </c>
      <c r="B68" s="152" t="s">
        <v>224</v>
      </c>
      <c r="C68" s="13"/>
      <c r="D68" s="152"/>
      <c r="E68" s="13"/>
      <c r="F68" s="152"/>
      <c r="O68" s="24"/>
    </row>
    <row r="69" spans="1:15" ht="15.75" thickBot="1" x14ac:dyDescent="0.3">
      <c r="A69" s="151" t="s">
        <v>225</v>
      </c>
      <c r="B69" s="145" t="s">
        <v>226</v>
      </c>
      <c r="C69" s="146"/>
      <c r="D69" s="145"/>
      <c r="E69" s="146"/>
      <c r="F69" s="145"/>
    </row>
    <row r="70" spans="1:15" x14ac:dyDescent="0.25">
      <c r="A70" s="39" t="s">
        <v>227</v>
      </c>
      <c r="B70" s="14" t="s">
        <v>228</v>
      </c>
      <c r="C70" s="14"/>
      <c r="D70" s="14"/>
      <c r="E70" s="14"/>
      <c r="F70" s="14"/>
      <c r="G70" s="14"/>
      <c r="H70" s="14"/>
      <c r="I70" s="14"/>
    </row>
    <row r="71" spans="1:15" x14ac:dyDescent="0.25">
      <c r="A71" s="39"/>
      <c r="B71" s="14"/>
      <c r="C71" s="14"/>
      <c r="D71" s="14"/>
      <c r="E71" s="14"/>
      <c r="F71" s="14"/>
      <c r="G71" s="14"/>
      <c r="H71" s="14"/>
      <c r="I71" s="14"/>
    </row>
    <row r="72" spans="1:15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15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5" spans="1:15" ht="15.75" thickBot="1" x14ac:dyDescent="0.3">
      <c r="A75" s="213" t="s">
        <v>0</v>
      </c>
      <c r="B75" s="213"/>
      <c r="C75" s="213"/>
      <c r="D75" s="213"/>
      <c r="E75" s="213"/>
      <c r="F75" s="213"/>
    </row>
    <row r="76" spans="1:15" ht="15.75" thickBot="1" x14ac:dyDescent="0.3">
      <c r="A76" s="214" t="s">
        <v>229</v>
      </c>
      <c r="B76" s="215"/>
      <c r="C76" s="214" t="s">
        <v>230</v>
      </c>
      <c r="D76" s="215"/>
      <c r="E76" s="214" t="s">
        <v>231</v>
      </c>
      <c r="F76" s="215"/>
    </row>
    <row r="77" spans="1:15" ht="26.25" x14ac:dyDescent="0.25">
      <c r="A77" s="49">
        <v>300</v>
      </c>
      <c r="B77" s="47" t="s">
        <v>232</v>
      </c>
      <c r="C77" s="49">
        <v>400</v>
      </c>
      <c r="D77" s="47" t="s">
        <v>233</v>
      </c>
      <c r="E77" s="49">
        <v>500</v>
      </c>
      <c r="F77" s="41" t="s">
        <v>234</v>
      </c>
    </row>
    <row r="78" spans="1:15" ht="26.25" x14ac:dyDescent="0.25">
      <c r="A78" s="56">
        <v>301</v>
      </c>
      <c r="B78" s="72" t="s">
        <v>235</v>
      </c>
      <c r="C78" s="56">
        <v>401</v>
      </c>
      <c r="D78" s="72" t="s">
        <v>236</v>
      </c>
      <c r="E78" s="54">
        <v>501</v>
      </c>
      <c r="F78" s="55" t="s">
        <v>237</v>
      </c>
    </row>
    <row r="79" spans="1:15" ht="25.5" x14ac:dyDescent="0.25">
      <c r="A79" s="50">
        <v>302</v>
      </c>
      <c r="B79" s="70" t="s">
        <v>238</v>
      </c>
      <c r="C79" s="50">
        <v>402</v>
      </c>
      <c r="D79" s="70" t="s">
        <v>239</v>
      </c>
      <c r="E79" s="50">
        <v>502</v>
      </c>
      <c r="F79" s="71" t="s">
        <v>240</v>
      </c>
    </row>
    <row r="80" spans="1:15" x14ac:dyDescent="0.25">
      <c r="A80" s="54">
        <v>303</v>
      </c>
      <c r="B80" s="69" t="s">
        <v>241</v>
      </c>
      <c r="C80" s="54">
        <v>403</v>
      </c>
      <c r="D80" s="69" t="s">
        <v>242</v>
      </c>
      <c r="E80" s="54">
        <v>503</v>
      </c>
      <c r="F80" s="69" t="s">
        <v>243</v>
      </c>
    </row>
    <row r="81" spans="1:6" ht="26.25" x14ac:dyDescent="0.25">
      <c r="A81" s="50">
        <v>304</v>
      </c>
      <c r="B81" s="70" t="s">
        <v>244</v>
      </c>
      <c r="C81" s="50">
        <v>404</v>
      </c>
      <c r="D81" s="70" t="s">
        <v>245</v>
      </c>
      <c r="E81" s="50">
        <v>504</v>
      </c>
      <c r="F81" s="41" t="s">
        <v>246</v>
      </c>
    </row>
    <row r="82" spans="1:6" ht="26.25" x14ac:dyDescent="0.25">
      <c r="A82" s="54">
        <v>305</v>
      </c>
      <c r="B82" s="55" t="s">
        <v>247</v>
      </c>
      <c r="C82" s="54">
        <v>405</v>
      </c>
      <c r="D82" s="72" t="s">
        <v>248</v>
      </c>
      <c r="E82" s="56">
        <v>505</v>
      </c>
      <c r="F82" s="72" t="s">
        <v>249</v>
      </c>
    </row>
    <row r="83" spans="1:6" ht="25.5" x14ac:dyDescent="0.25">
      <c r="A83" s="51">
        <v>306</v>
      </c>
      <c r="B83" s="71" t="s">
        <v>250</v>
      </c>
      <c r="C83" s="51">
        <v>406</v>
      </c>
      <c r="D83" s="71" t="s">
        <v>251</v>
      </c>
      <c r="E83" s="51" t="s">
        <v>252</v>
      </c>
      <c r="F83" s="71" t="s">
        <v>253</v>
      </c>
    </row>
    <row r="84" spans="1:6" ht="26.25" x14ac:dyDescent="0.25">
      <c r="A84" s="54">
        <v>307</v>
      </c>
      <c r="B84" s="69" t="s">
        <v>254</v>
      </c>
      <c r="C84" s="54">
        <v>407</v>
      </c>
      <c r="D84" s="55" t="s">
        <v>255</v>
      </c>
      <c r="E84" s="54" t="s">
        <v>256</v>
      </c>
      <c r="F84" s="69" t="s">
        <v>257</v>
      </c>
    </row>
    <row r="85" spans="1:6" ht="26.25" x14ac:dyDescent="0.25">
      <c r="A85" s="51">
        <v>308</v>
      </c>
      <c r="B85" s="70" t="s">
        <v>258</v>
      </c>
      <c r="C85" s="50">
        <v>408</v>
      </c>
      <c r="D85" s="41" t="s">
        <v>259</v>
      </c>
      <c r="E85" s="50" t="s">
        <v>260</v>
      </c>
      <c r="F85" s="70" t="s">
        <v>261</v>
      </c>
    </row>
    <row r="86" spans="1:6" ht="26.25" x14ac:dyDescent="0.25">
      <c r="A86" s="56">
        <v>309</v>
      </c>
      <c r="B86" s="55" t="s">
        <v>262</v>
      </c>
      <c r="C86" s="56">
        <v>409</v>
      </c>
      <c r="D86" s="72" t="s">
        <v>263</v>
      </c>
      <c r="E86" s="56" t="s">
        <v>264</v>
      </c>
      <c r="F86" s="55" t="s">
        <v>265</v>
      </c>
    </row>
    <row r="87" spans="1:6" ht="25.5" x14ac:dyDescent="0.25">
      <c r="A87" s="50">
        <v>310</v>
      </c>
      <c r="B87" s="42" t="s">
        <v>266</v>
      </c>
      <c r="C87" s="50">
        <v>410</v>
      </c>
      <c r="D87" s="41" t="s">
        <v>267</v>
      </c>
      <c r="E87" s="51" t="s">
        <v>268</v>
      </c>
      <c r="F87" s="41" t="s">
        <v>269</v>
      </c>
    </row>
    <row r="88" spans="1:6" ht="26.25" x14ac:dyDescent="0.25">
      <c r="A88" s="54">
        <v>311</v>
      </c>
      <c r="B88" s="72" t="s">
        <v>270</v>
      </c>
      <c r="C88" s="56" t="s">
        <v>271</v>
      </c>
      <c r="D88" s="72" t="s">
        <v>272</v>
      </c>
      <c r="E88" s="56" t="s">
        <v>273</v>
      </c>
      <c r="F88" s="55" t="s">
        <v>274</v>
      </c>
    </row>
    <row r="89" spans="1:6" ht="26.25" x14ac:dyDescent="0.25">
      <c r="A89" s="50">
        <v>312</v>
      </c>
      <c r="B89" s="70" t="s">
        <v>275</v>
      </c>
      <c r="C89" s="50" t="s">
        <v>276</v>
      </c>
      <c r="D89" s="70" t="s">
        <v>277</v>
      </c>
      <c r="E89" s="50" t="s">
        <v>278</v>
      </c>
      <c r="F89" s="41" t="s">
        <v>279</v>
      </c>
    </row>
    <row r="90" spans="1:6" ht="26.25" x14ac:dyDescent="0.25">
      <c r="A90" s="54">
        <v>313</v>
      </c>
      <c r="B90" s="72" t="s">
        <v>280</v>
      </c>
      <c r="C90" s="54" t="s">
        <v>281</v>
      </c>
      <c r="D90" s="69" t="s">
        <v>282</v>
      </c>
      <c r="E90" s="54" t="s">
        <v>283</v>
      </c>
      <c r="F90" s="55" t="s">
        <v>284</v>
      </c>
    </row>
    <row r="91" spans="1:6" ht="26.25" x14ac:dyDescent="0.25">
      <c r="A91" s="50">
        <v>314</v>
      </c>
      <c r="B91" s="70" t="s">
        <v>285</v>
      </c>
      <c r="C91" s="50" t="s">
        <v>286</v>
      </c>
      <c r="D91" s="70" t="s">
        <v>287</v>
      </c>
      <c r="E91" s="50" t="s">
        <v>288</v>
      </c>
      <c r="F91" s="41" t="s">
        <v>289</v>
      </c>
    </row>
    <row r="92" spans="1:6" ht="26.25" x14ac:dyDescent="0.25">
      <c r="A92" s="56">
        <v>315</v>
      </c>
      <c r="B92" s="55" t="s">
        <v>290</v>
      </c>
      <c r="C92" s="56" t="s">
        <v>291</v>
      </c>
      <c r="D92" s="69" t="s">
        <v>292</v>
      </c>
      <c r="E92" s="56" t="s">
        <v>293</v>
      </c>
      <c r="F92" s="72" t="s">
        <v>294</v>
      </c>
    </row>
    <row r="93" spans="1:6" x14ac:dyDescent="0.25">
      <c r="A93" s="51">
        <v>316</v>
      </c>
      <c r="B93" s="71" t="s">
        <v>295</v>
      </c>
      <c r="C93" s="51"/>
      <c r="D93" s="41"/>
      <c r="E93" s="51"/>
      <c r="F93" s="41"/>
    </row>
    <row r="94" spans="1:6" x14ac:dyDescent="0.25">
      <c r="A94" s="54">
        <v>317</v>
      </c>
      <c r="B94" s="69" t="s">
        <v>296</v>
      </c>
      <c r="C94" s="54"/>
      <c r="D94" s="58"/>
      <c r="E94" s="54"/>
      <c r="F94" s="58"/>
    </row>
    <row r="95" spans="1:6" x14ac:dyDescent="0.25">
      <c r="A95" s="50">
        <v>318</v>
      </c>
      <c r="B95" s="70" t="s">
        <v>297</v>
      </c>
      <c r="C95" s="50"/>
      <c r="D95" s="48"/>
      <c r="E95" s="50"/>
      <c r="F95" s="48"/>
    </row>
    <row r="96" spans="1:6" x14ac:dyDescent="0.25">
      <c r="A96" s="54">
        <v>319</v>
      </c>
      <c r="B96" s="69" t="s">
        <v>298</v>
      </c>
      <c r="C96" s="54"/>
      <c r="D96" s="58"/>
      <c r="E96" s="54"/>
      <c r="F96" s="58"/>
    </row>
    <row r="97" spans="1:8" x14ac:dyDescent="0.25">
      <c r="A97" s="153" t="s">
        <v>299</v>
      </c>
      <c r="B97" s="154" t="s">
        <v>300</v>
      </c>
      <c r="C97" s="153"/>
      <c r="D97" s="155"/>
      <c r="E97" s="153"/>
      <c r="F97" s="155"/>
    </row>
    <row r="98" spans="1:8" ht="26.25" x14ac:dyDescent="0.25">
      <c r="A98" s="54" t="s">
        <v>301</v>
      </c>
      <c r="B98" s="166" t="s">
        <v>302</v>
      </c>
      <c r="C98" s="166"/>
      <c r="D98" s="166"/>
      <c r="E98" s="166"/>
      <c r="F98" s="166"/>
      <c r="G98" s="166"/>
    </row>
    <row r="99" spans="1:8" x14ac:dyDescent="0.25">
      <c r="A99" s="50"/>
      <c r="B99" s="40"/>
      <c r="C99" s="50"/>
      <c r="D99" s="48"/>
      <c r="E99" s="50"/>
      <c r="F99" s="48"/>
    </row>
    <row r="100" spans="1:8" x14ac:dyDescent="0.25">
      <c r="A100" s="54"/>
      <c r="B100" s="60"/>
      <c r="C100" s="54"/>
      <c r="D100" s="57"/>
      <c r="E100" s="54"/>
      <c r="F100" s="57"/>
    </row>
    <row r="101" spans="1:8" x14ac:dyDescent="0.25">
      <c r="A101" s="50"/>
      <c r="B101" s="40"/>
      <c r="C101" s="50"/>
      <c r="D101" s="48"/>
      <c r="E101" s="50"/>
      <c r="F101" s="48"/>
    </row>
    <row r="102" spans="1:8" x14ac:dyDescent="0.25">
      <c r="A102" s="54"/>
      <c r="B102" s="58"/>
      <c r="C102" s="54"/>
      <c r="D102" s="57"/>
      <c r="E102" s="54"/>
      <c r="F102" s="57"/>
    </row>
    <row r="103" spans="1:8" x14ac:dyDescent="0.25">
      <c r="A103" s="50"/>
      <c r="B103" s="40"/>
      <c r="C103" s="50"/>
      <c r="D103" s="48"/>
      <c r="E103" s="50"/>
      <c r="F103" s="48"/>
    </row>
    <row r="104" spans="1:8" x14ac:dyDescent="0.25">
      <c r="A104" s="54"/>
      <c r="B104" s="58"/>
      <c r="C104" s="54"/>
      <c r="D104" s="58"/>
      <c r="E104" s="54"/>
      <c r="F104" s="57"/>
    </row>
    <row r="105" spans="1:8" x14ac:dyDescent="0.25">
      <c r="A105" s="50"/>
      <c r="B105" s="40"/>
      <c r="C105" s="50"/>
      <c r="D105" s="48"/>
      <c r="E105" s="50"/>
      <c r="F105" s="48"/>
    </row>
    <row r="106" spans="1:8" x14ac:dyDescent="0.25">
      <c r="A106" s="54"/>
      <c r="B106" s="58"/>
      <c r="C106" s="54"/>
      <c r="D106" s="57"/>
      <c r="E106" s="54"/>
      <c r="F106" s="57"/>
    </row>
    <row r="107" spans="1:8" x14ac:dyDescent="0.25">
      <c r="A107" s="50"/>
      <c r="B107" s="42"/>
      <c r="C107" s="50"/>
      <c r="D107" s="42"/>
      <c r="E107" s="50"/>
      <c r="F107" s="42"/>
    </row>
    <row r="108" spans="1:8" x14ac:dyDescent="0.25">
      <c r="A108" s="54"/>
      <c r="B108" s="58"/>
      <c r="C108" s="54"/>
      <c r="D108" s="57"/>
      <c r="E108" s="54"/>
      <c r="F108" s="57"/>
      <c r="G108" s="74"/>
      <c r="H108" s="88"/>
    </row>
    <row r="109" spans="1:8" x14ac:dyDescent="0.25">
      <c r="A109" s="50"/>
      <c r="B109" s="42"/>
      <c r="C109" s="50"/>
      <c r="D109" s="48"/>
      <c r="E109" s="50"/>
      <c r="F109" s="48"/>
      <c r="G109" s="77"/>
      <c r="H109" s="87"/>
    </row>
    <row r="110" spans="1:8" x14ac:dyDescent="0.25">
      <c r="A110" s="54"/>
      <c r="B110" s="58"/>
      <c r="C110" s="54"/>
      <c r="D110" s="58"/>
      <c r="E110" s="54"/>
      <c r="F110" s="58"/>
      <c r="G110" s="74"/>
      <c r="H110" s="48"/>
    </row>
    <row r="111" spans="1:8" x14ac:dyDescent="0.25">
      <c r="A111" s="50"/>
      <c r="B111" s="42"/>
      <c r="C111" s="50"/>
      <c r="D111" s="48"/>
      <c r="E111" s="50"/>
      <c r="F111" s="48"/>
      <c r="G111" s="77"/>
      <c r="H111" s="57"/>
    </row>
    <row r="112" spans="1:8" x14ac:dyDescent="0.25">
      <c r="A112" s="54"/>
      <c r="B112" s="58"/>
      <c r="C112" s="63"/>
      <c r="D112" s="57"/>
      <c r="E112" s="54"/>
      <c r="F112" s="57"/>
      <c r="G112" s="74"/>
      <c r="H112" s="48"/>
    </row>
    <row r="113" spans="1:8" x14ac:dyDescent="0.25">
      <c r="A113" s="50"/>
      <c r="B113" s="42"/>
      <c r="C113" s="52"/>
      <c r="D113" s="48"/>
      <c r="E113" s="50"/>
      <c r="F113" s="48"/>
      <c r="G113" s="77"/>
      <c r="H113" s="57"/>
    </row>
    <row r="114" spans="1:8" x14ac:dyDescent="0.25">
      <c r="A114" s="54"/>
      <c r="B114" s="60"/>
      <c r="C114" s="63"/>
      <c r="D114" s="57"/>
      <c r="E114" s="54"/>
      <c r="F114" s="57"/>
      <c r="G114" s="74"/>
      <c r="H114" s="48"/>
    </row>
    <row r="115" spans="1:8" x14ac:dyDescent="0.25">
      <c r="A115" s="50"/>
      <c r="B115" s="40"/>
      <c r="C115" s="52"/>
      <c r="D115" s="48"/>
      <c r="E115" s="50"/>
      <c r="F115" s="48"/>
      <c r="G115" s="77"/>
      <c r="H115" s="57"/>
    </row>
    <row r="116" spans="1:8" x14ac:dyDescent="0.25">
      <c r="A116" s="54"/>
      <c r="B116" s="60"/>
      <c r="C116" s="63"/>
      <c r="D116" s="97"/>
      <c r="E116" s="158"/>
      <c r="F116" s="97"/>
      <c r="G116" s="91"/>
      <c r="H116" s="91"/>
    </row>
    <row r="117" spans="1:8" x14ac:dyDescent="0.25">
      <c r="A117" s="51"/>
      <c r="B117" s="41"/>
      <c r="C117" s="53"/>
      <c r="D117" s="159"/>
      <c r="E117" s="160"/>
      <c r="F117" s="159"/>
      <c r="G117" s="97"/>
      <c r="H117" s="97"/>
    </row>
    <row r="118" spans="1:8" x14ac:dyDescent="0.25">
      <c r="A118" s="54"/>
      <c r="B118" s="60"/>
      <c r="C118" s="63"/>
      <c r="D118" s="97"/>
      <c r="E118" s="158"/>
      <c r="F118" s="97"/>
      <c r="G118" s="91"/>
      <c r="H118" s="91"/>
    </row>
    <row r="119" spans="1:8" ht="15.75" thickBot="1" x14ac:dyDescent="0.3">
      <c r="A119" s="213" t="s">
        <v>0</v>
      </c>
      <c r="B119" s="213"/>
      <c r="C119" s="52"/>
      <c r="D119" s="91"/>
      <c r="E119" s="161"/>
      <c r="F119" s="91"/>
      <c r="G119" s="97"/>
      <c r="H119" s="97"/>
    </row>
    <row r="120" spans="1:8" ht="15.75" thickBot="1" x14ac:dyDescent="0.3">
      <c r="A120" s="82"/>
      <c r="B120" s="184" t="s">
        <v>303</v>
      </c>
      <c r="C120" s="63"/>
      <c r="D120" s="97"/>
      <c r="E120" s="158"/>
      <c r="F120" s="97"/>
      <c r="G120" s="91"/>
      <c r="H120" s="91"/>
    </row>
    <row r="121" spans="1:8" x14ac:dyDescent="0.25">
      <c r="A121" s="83">
        <v>600</v>
      </c>
      <c r="B121" s="86" t="s">
        <v>304</v>
      </c>
      <c r="C121" s="52"/>
      <c r="D121" s="91"/>
      <c r="E121" s="161"/>
      <c r="F121" s="91"/>
      <c r="G121" s="97"/>
      <c r="H121" s="97"/>
    </row>
    <row r="122" spans="1:8" x14ac:dyDescent="0.25">
      <c r="A122" s="63">
        <v>601</v>
      </c>
      <c r="B122" s="69" t="s">
        <v>305</v>
      </c>
      <c r="C122" s="63"/>
      <c r="D122" s="97"/>
      <c r="E122" s="158"/>
      <c r="F122" s="97"/>
      <c r="G122" s="91"/>
      <c r="H122" s="91"/>
    </row>
    <row r="123" spans="1:8" x14ac:dyDescent="0.25">
      <c r="A123" s="52">
        <v>602</v>
      </c>
      <c r="B123" s="70" t="s">
        <v>306</v>
      </c>
      <c r="C123" s="53"/>
      <c r="D123" s="159"/>
      <c r="E123" s="160"/>
      <c r="F123" s="159"/>
      <c r="G123" s="97"/>
      <c r="H123" s="97"/>
    </row>
    <row r="124" spans="1:8" x14ac:dyDescent="0.25">
      <c r="A124" s="63">
        <v>603</v>
      </c>
      <c r="B124" s="69" t="s">
        <v>307</v>
      </c>
      <c r="C124" s="63"/>
      <c r="D124" s="97"/>
      <c r="E124" s="158"/>
      <c r="F124" s="97"/>
      <c r="G124" s="91"/>
      <c r="H124" s="91"/>
    </row>
    <row r="125" spans="1:8" x14ac:dyDescent="0.25">
      <c r="A125" s="53">
        <v>604</v>
      </c>
      <c r="B125" s="71" t="s">
        <v>308</v>
      </c>
      <c r="C125" s="52"/>
      <c r="D125" s="91"/>
      <c r="E125" s="161"/>
      <c r="F125" s="91"/>
      <c r="G125" s="97"/>
      <c r="H125" s="97"/>
    </row>
    <row r="126" spans="1:8" x14ac:dyDescent="0.25">
      <c r="A126" s="85">
        <v>605</v>
      </c>
      <c r="B126" s="72" t="s">
        <v>309</v>
      </c>
      <c r="C126" s="63"/>
      <c r="D126" s="97"/>
      <c r="E126" s="162"/>
      <c r="F126" s="97"/>
      <c r="G126" s="91"/>
      <c r="H126" s="91"/>
    </row>
    <row r="127" spans="1:8" x14ac:dyDescent="0.25">
      <c r="A127" s="52">
        <v>606</v>
      </c>
      <c r="B127" s="70" t="s">
        <v>310</v>
      </c>
      <c r="C127" s="52"/>
      <c r="D127" s="91"/>
      <c r="E127" s="163"/>
      <c r="F127" s="91"/>
      <c r="G127" s="97"/>
      <c r="H127" s="97"/>
    </row>
    <row r="128" spans="1:8" x14ac:dyDescent="0.25">
      <c r="A128" s="63">
        <v>607</v>
      </c>
      <c r="B128" s="69" t="s">
        <v>311</v>
      </c>
      <c r="C128" s="63"/>
      <c r="D128" s="97"/>
      <c r="E128" s="162"/>
      <c r="F128" s="97"/>
      <c r="G128" s="91"/>
      <c r="H128" s="91"/>
    </row>
    <row r="129" spans="1:8" x14ac:dyDescent="0.25">
      <c r="A129" s="53">
        <v>608</v>
      </c>
      <c r="B129" s="70" t="s">
        <v>312</v>
      </c>
      <c r="C129" s="52"/>
      <c r="D129" s="91"/>
      <c r="E129" s="163"/>
      <c r="F129" s="91"/>
      <c r="G129" s="97"/>
      <c r="H129" s="97"/>
    </row>
    <row r="130" spans="1:8" ht="25.5" x14ac:dyDescent="0.25">
      <c r="A130" s="85">
        <v>609</v>
      </c>
      <c r="B130" s="72" t="s">
        <v>313</v>
      </c>
      <c r="C130" s="63"/>
      <c r="D130" s="97"/>
      <c r="E130" s="162"/>
      <c r="F130" s="97"/>
      <c r="G130" s="91"/>
      <c r="H130" s="91"/>
    </row>
    <row r="131" spans="1:8" x14ac:dyDescent="0.25">
      <c r="A131" s="53">
        <v>610</v>
      </c>
      <c r="B131" s="71" t="s">
        <v>314</v>
      </c>
      <c r="C131" s="52"/>
      <c r="D131" s="91"/>
      <c r="E131" s="163"/>
      <c r="F131" s="91"/>
      <c r="G131" s="97"/>
      <c r="H131" s="97"/>
    </row>
    <row r="132" spans="1:8" x14ac:dyDescent="0.25">
      <c r="A132" s="85">
        <v>611</v>
      </c>
      <c r="B132" s="72" t="s">
        <v>315</v>
      </c>
      <c r="C132" s="63"/>
      <c r="D132" s="97"/>
      <c r="E132" s="162"/>
      <c r="F132" s="97"/>
      <c r="G132" s="91"/>
      <c r="H132" s="91"/>
    </row>
    <row r="133" spans="1:8" x14ac:dyDescent="0.25">
      <c r="A133" s="52">
        <v>612</v>
      </c>
      <c r="B133" s="70" t="s">
        <v>316</v>
      </c>
      <c r="C133" s="52"/>
      <c r="D133" s="91"/>
      <c r="E133" s="163"/>
      <c r="F133" s="91"/>
      <c r="G133" s="97"/>
      <c r="H133" s="97"/>
    </row>
    <row r="134" spans="1:8" x14ac:dyDescent="0.25">
      <c r="A134" s="63">
        <v>613</v>
      </c>
      <c r="B134" s="69" t="s">
        <v>317</v>
      </c>
      <c r="C134" s="63"/>
      <c r="D134" s="164"/>
      <c r="E134" s="162"/>
      <c r="F134" s="97"/>
      <c r="G134" s="91"/>
      <c r="H134" s="91"/>
    </row>
    <row r="135" spans="1:8" x14ac:dyDescent="0.25">
      <c r="A135" s="52">
        <v>614</v>
      </c>
      <c r="B135" s="70" t="s">
        <v>318</v>
      </c>
      <c r="C135" s="53"/>
      <c r="D135" s="159"/>
      <c r="E135" s="165"/>
      <c r="F135" s="159"/>
      <c r="G135" s="97"/>
      <c r="H135" s="97"/>
    </row>
    <row r="136" spans="1:8" x14ac:dyDescent="0.25">
      <c r="A136" s="85">
        <v>615</v>
      </c>
      <c r="B136" s="69" t="s">
        <v>319</v>
      </c>
      <c r="C136" s="76"/>
      <c r="D136" s="97"/>
      <c r="E136" s="97"/>
      <c r="F136" s="97"/>
      <c r="G136" s="91"/>
      <c r="H136" s="91"/>
    </row>
    <row r="137" spans="1:8" x14ac:dyDescent="0.25">
      <c r="A137" s="53">
        <v>616</v>
      </c>
      <c r="B137" s="70" t="s">
        <v>320</v>
      </c>
      <c r="C137" s="84"/>
      <c r="D137" s="91"/>
      <c r="E137" s="91"/>
      <c r="F137" s="91"/>
      <c r="G137" s="97"/>
      <c r="H137" s="97"/>
    </row>
    <row r="138" spans="1:8" x14ac:dyDescent="0.25">
      <c r="A138" s="63">
        <v>617</v>
      </c>
      <c r="B138" s="69" t="s">
        <v>321</v>
      </c>
      <c r="C138" s="76"/>
      <c r="D138" s="97"/>
      <c r="E138" s="97"/>
      <c r="F138" s="97"/>
      <c r="G138" s="91"/>
      <c r="H138" s="91"/>
    </row>
    <row r="139" spans="1:8" ht="25.5" x14ac:dyDescent="0.25">
      <c r="A139" s="52">
        <v>618</v>
      </c>
      <c r="B139" s="71" t="s">
        <v>322</v>
      </c>
      <c r="C139" s="90"/>
      <c r="D139" s="91"/>
      <c r="E139" s="91"/>
      <c r="F139" s="91"/>
      <c r="G139" s="97"/>
      <c r="H139" s="97"/>
    </row>
    <row r="140" spans="1:8" x14ac:dyDescent="0.25">
      <c r="A140" s="63">
        <v>619</v>
      </c>
      <c r="B140" s="69" t="s">
        <v>323</v>
      </c>
      <c r="C140" s="13"/>
      <c r="D140" s="97"/>
      <c r="E140" s="97"/>
      <c r="F140" s="97"/>
      <c r="G140" s="91"/>
      <c r="H140" s="91"/>
    </row>
    <row r="141" spans="1:8" x14ac:dyDescent="0.25">
      <c r="A141" s="52">
        <v>620</v>
      </c>
      <c r="B141" s="70" t="s">
        <v>324</v>
      </c>
      <c r="C141" s="14"/>
      <c r="D141" s="91"/>
      <c r="E141" s="91"/>
      <c r="F141" s="91"/>
      <c r="G141" s="97"/>
      <c r="H141" s="97"/>
    </row>
    <row r="142" spans="1:8" x14ac:dyDescent="0.25">
      <c r="A142" s="63">
        <v>621</v>
      </c>
      <c r="B142" s="69" t="s">
        <v>325</v>
      </c>
      <c r="C142" s="13"/>
      <c r="D142" s="97"/>
      <c r="E142" s="97"/>
      <c r="F142" s="97"/>
      <c r="G142" s="91"/>
      <c r="H142" s="91"/>
    </row>
    <row r="143" spans="1:8" x14ac:dyDescent="0.25">
      <c r="A143" s="52">
        <v>622</v>
      </c>
      <c r="B143" s="70" t="s">
        <v>326</v>
      </c>
      <c r="C143" s="90"/>
      <c r="D143" s="91"/>
      <c r="E143" s="91"/>
      <c r="F143" s="91"/>
      <c r="G143" s="97"/>
      <c r="H143" s="97"/>
    </row>
    <row r="144" spans="1:8" x14ac:dyDescent="0.25">
      <c r="A144" s="63">
        <v>623</v>
      </c>
      <c r="B144" s="69" t="s">
        <v>327</v>
      </c>
      <c r="D144" s="91"/>
      <c r="E144" s="91"/>
      <c r="F144" s="91"/>
      <c r="G144" s="91"/>
      <c r="H144" s="91"/>
    </row>
    <row r="145" spans="1:8" x14ac:dyDescent="0.25">
      <c r="A145" s="84">
        <v>624</v>
      </c>
      <c r="B145" s="70" t="s">
        <v>328</v>
      </c>
      <c r="D145" s="91"/>
      <c r="E145" s="91"/>
      <c r="F145" s="91"/>
      <c r="G145" s="91"/>
      <c r="H145" s="91"/>
    </row>
    <row r="146" spans="1:8" x14ac:dyDescent="0.25">
      <c r="A146" s="76">
        <v>625</v>
      </c>
      <c r="B146" s="87" t="s">
        <v>329</v>
      </c>
      <c r="D146" s="91"/>
      <c r="E146" s="91"/>
      <c r="F146" s="91"/>
      <c r="G146" s="91"/>
      <c r="H146" s="91"/>
    </row>
    <row r="147" spans="1:8" x14ac:dyDescent="0.25">
      <c r="A147" s="84">
        <v>626</v>
      </c>
      <c r="B147" s="88" t="s">
        <v>330</v>
      </c>
      <c r="D147" s="91"/>
      <c r="E147" s="91"/>
      <c r="F147" s="91"/>
      <c r="G147" s="91"/>
      <c r="H147" s="91"/>
    </row>
    <row r="148" spans="1:8" x14ac:dyDescent="0.25">
      <c r="A148" s="76">
        <v>627</v>
      </c>
      <c r="B148" s="87" t="s">
        <v>331</v>
      </c>
      <c r="D148" s="91"/>
      <c r="E148" s="91"/>
      <c r="F148" s="91"/>
      <c r="G148" s="91"/>
      <c r="H148" s="91"/>
    </row>
    <row r="149" spans="1:8" x14ac:dyDescent="0.25">
      <c r="A149" s="74">
        <v>628</v>
      </c>
      <c r="B149" s="88" t="s">
        <v>332</v>
      </c>
      <c r="D149" s="91"/>
      <c r="E149" s="91"/>
      <c r="F149" s="91"/>
      <c r="G149" s="91"/>
      <c r="H149" s="91"/>
    </row>
    <row r="150" spans="1:8" x14ac:dyDescent="0.25">
      <c r="A150" s="157">
        <v>629</v>
      </c>
      <c r="B150" s="156" t="s">
        <v>333</v>
      </c>
      <c r="D150" s="91"/>
      <c r="E150" s="91"/>
      <c r="F150" s="91"/>
      <c r="G150" s="91"/>
      <c r="H150" s="91"/>
    </row>
  </sheetData>
  <mergeCells count="9">
    <mergeCell ref="A1:F1"/>
    <mergeCell ref="A75:F75"/>
    <mergeCell ref="A119:B119"/>
    <mergeCell ref="E76:F76"/>
    <mergeCell ref="A2:B2"/>
    <mergeCell ref="C2:D2"/>
    <mergeCell ref="E2:F2"/>
    <mergeCell ref="A76:B76"/>
    <mergeCell ref="C76:D76"/>
  </mergeCells>
  <pageMargins left="0.25" right="0.25" top="0.25" bottom="0.25" header="0.3" footer="0.3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7D089-A1F7-4FB7-BB41-C6DB423DBA2C}">
  <sheetPr>
    <pageSetUpPr fitToPage="1"/>
  </sheetPr>
  <dimension ref="A1:Z2529"/>
  <sheetViews>
    <sheetView topLeftCell="A287" workbookViewId="0">
      <selection activeCell="N146" sqref="N1:T1048576"/>
    </sheetView>
  </sheetViews>
  <sheetFormatPr defaultRowHeight="15" x14ac:dyDescent="0.25"/>
  <cols>
    <col min="1" max="1" width="5.140625" customWidth="1"/>
    <col min="2" max="2" width="27.5703125" customWidth="1"/>
    <col min="14" max="14" width="0" hidden="1" customWidth="1"/>
    <col min="15" max="15" width="17.140625" hidden="1" customWidth="1"/>
    <col min="16" max="20" width="0" hidden="1" customWidth="1"/>
  </cols>
  <sheetData>
    <row r="1" spans="2:26" ht="23.25" x14ac:dyDescent="0.35">
      <c r="B1" s="29" t="s">
        <v>334</v>
      </c>
      <c r="C1" s="229" t="s">
        <v>85</v>
      </c>
      <c r="D1" s="229"/>
      <c r="E1" s="229"/>
      <c r="F1" s="229"/>
      <c r="G1" s="229"/>
      <c r="H1" s="229"/>
      <c r="I1" s="229"/>
      <c r="J1" s="229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2:26" ht="18.75" x14ac:dyDescent="0.3">
      <c r="B2" s="12" t="s">
        <v>335</v>
      </c>
      <c r="C2" s="195" t="s">
        <v>336</v>
      </c>
      <c r="D2" s="228" t="s">
        <v>337</v>
      </c>
      <c r="E2" s="228"/>
      <c r="F2" s="1" t="s">
        <v>338</v>
      </c>
      <c r="L2" s="12" t="s">
        <v>339</v>
      </c>
      <c r="M2" s="6" t="s">
        <v>84</v>
      </c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2:26" x14ac:dyDescent="0.25">
      <c r="F3" s="1" t="s">
        <v>340</v>
      </c>
      <c r="I3" s="37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26" x14ac:dyDescent="0.25">
      <c r="B4" s="2" t="s">
        <v>341</v>
      </c>
      <c r="C4" s="250" t="s">
        <v>342</v>
      </c>
      <c r="D4" s="250"/>
      <c r="E4" s="250" t="s">
        <v>343</v>
      </c>
      <c r="F4" s="250"/>
      <c r="G4" s="250" t="s">
        <v>344</v>
      </c>
      <c r="H4" s="250"/>
      <c r="I4" s="228" t="s">
        <v>345</v>
      </c>
      <c r="J4" s="228"/>
      <c r="K4" s="228"/>
      <c r="L4" s="228"/>
      <c r="M4" s="228"/>
      <c r="O4" s="25" t="s">
        <v>346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</row>
    <row r="5" spans="2:26" x14ac:dyDescent="0.25">
      <c r="C5" s="251"/>
      <c r="D5" s="251"/>
      <c r="E5" s="251"/>
      <c r="F5" s="251"/>
      <c r="G5" s="251"/>
      <c r="H5" s="251"/>
      <c r="I5" s="7"/>
      <c r="J5" s="7"/>
      <c r="K5" s="7"/>
      <c r="L5" s="7"/>
      <c r="M5" s="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2:26" x14ac:dyDescent="0.25">
      <c r="B6" s="11" t="s">
        <v>347</v>
      </c>
      <c r="C6" s="252" t="s">
        <v>348</v>
      </c>
      <c r="D6" s="252"/>
      <c r="E6" s="252" t="s">
        <v>349</v>
      </c>
      <c r="F6" s="252"/>
      <c r="G6" s="252" t="s">
        <v>350</v>
      </c>
      <c r="H6" s="252"/>
      <c r="I6" s="14" t="s">
        <v>351</v>
      </c>
      <c r="J6" s="7"/>
      <c r="K6" s="7"/>
      <c r="L6" s="7"/>
      <c r="M6" s="7"/>
      <c r="O6" s="110">
        <v>0.57569999999999999</v>
      </c>
      <c r="P6" s="24"/>
      <c r="Q6" s="24"/>
      <c r="R6" s="200"/>
      <c r="S6" s="200"/>
      <c r="T6" s="200"/>
      <c r="U6" s="200"/>
      <c r="V6" s="200"/>
      <c r="W6" s="200"/>
      <c r="X6" s="200"/>
      <c r="Y6" s="200"/>
      <c r="Z6" s="24"/>
    </row>
    <row r="7" spans="2:26" x14ac:dyDescent="0.25">
      <c r="B7" s="11" t="s">
        <v>352</v>
      </c>
      <c r="C7" s="196"/>
      <c r="D7" s="196"/>
      <c r="E7" s="252"/>
      <c r="F7" s="252"/>
      <c r="G7" s="252"/>
      <c r="H7" s="252"/>
      <c r="I7" s="14" t="s">
        <v>353</v>
      </c>
      <c r="J7" s="7"/>
      <c r="K7" s="7"/>
      <c r="L7" s="7"/>
      <c r="M7" s="7"/>
      <c r="O7" s="110"/>
      <c r="P7" s="24"/>
      <c r="Q7" s="24"/>
      <c r="R7" s="200"/>
      <c r="S7" s="200"/>
      <c r="T7" s="200"/>
      <c r="U7" s="200"/>
      <c r="V7" s="200"/>
      <c r="W7" s="200"/>
      <c r="X7" s="200"/>
      <c r="Y7" s="200"/>
      <c r="Z7" s="24"/>
    </row>
    <row r="8" spans="2:26" x14ac:dyDescent="0.25">
      <c r="B8" s="1" t="s">
        <v>354</v>
      </c>
      <c r="C8" s="253" t="s">
        <v>355</v>
      </c>
      <c r="D8" s="253"/>
      <c r="E8" s="253" t="s">
        <v>356</v>
      </c>
      <c r="F8" s="253"/>
      <c r="G8" s="253" t="s">
        <v>357</v>
      </c>
      <c r="H8" s="253"/>
      <c r="I8" s="14" t="s">
        <v>358</v>
      </c>
      <c r="J8" s="7"/>
      <c r="K8" s="7"/>
      <c r="L8" s="7"/>
      <c r="M8" s="7"/>
      <c r="O8" s="110">
        <v>1.0999999999999999E-2</v>
      </c>
      <c r="P8" s="24"/>
      <c r="Q8" s="24"/>
      <c r="R8" s="200"/>
      <c r="S8" s="200"/>
      <c r="T8" s="200"/>
      <c r="U8" s="200"/>
      <c r="V8" s="200"/>
      <c r="W8" s="200"/>
      <c r="X8" s="200"/>
      <c r="Y8" s="200"/>
      <c r="Z8" s="24"/>
    </row>
    <row r="9" spans="2:26" x14ac:dyDescent="0.25">
      <c r="B9" s="1"/>
      <c r="C9" s="197"/>
      <c r="D9" s="197"/>
      <c r="E9" s="253"/>
      <c r="F9" s="253"/>
      <c r="G9" s="253"/>
      <c r="H9" s="253"/>
      <c r="I9" s="14" t="s">
        <v>359</v>
      </c>
      <c r="J9" s="7"/>
      <c r="K9" s="7"/>
      <c r="L9" s="7"/>
      <c r="M9" s="7"/>
      <c r="O9" s="110"/>
      <c r="P9" s="24"/>
      <c r="Q9" s="24"/>
      <c r="R9" s="200"/>
      <c r="S9" s="200"/>
      <c r="T9" s="200"/>
      <c r="U9" s="200"/>
      <c r="V9" s="200"/>
      <c r="W9" s="200"/>
      <c r="X9" s="200"/>
      <c r="Y9" s="200"/>
      <c r="Z9" s="24"/>
    </row>
    <row r="10" spans="2:26" x14ac:dyDescent="0.25">
      <c r="B10" s="11" t="s">
        <v>360</v>
      </c>
      <c r="C10" s="252" t="s">
        <v>361</v>
      </c>
      <c r="D10" s="252"/>
      <c r="E10" s="252" t="s">
        <v>362</v>
      </c>
      <c r="F10" s="252"/>
      <c r="G10" s="252" t="s">
        <v>363</v>
      </c>
      <c r="H10" s="252"/>
      <c r="I10" s="14" t="s">
        <v>364</v>
      </c>
      <c r="J10" s="7"/>
      <c r="K10" s="7"/>
      <c r="L10" s="7"/>
      <c r="M10" s="7"/>
      <c r="O10" s="110">
        <v>0.21</v>
      </c>
      <c r="P10" s="24"/>
      <c r="Q10" s="24"/>
      <c r="R10" s="200"/>
      <c r="S10" s="200"/>
      <c r="T10" s="200"/>
      <c r="U10" s="26"/>
      <c r="V10" s="200"/>
      <c r="W10" s="200"/>
      <c r="X10" s="200"/>
      <c r="Y10" s="200"/>
      <c r="Z10" s="24"/>
    </row>
    <row r="11" spans="2:26" x14ac:dyDescent="0.25">
      <c r="B11" s="11"/>
      <c r="C11" s="196"/>
      <c r="D11" s="196"/>
      <c r="E11" s="252"/>
      <c r="F11" s="252"/>
      <c r="G11" s="252"/>
      <c r="H11" s="252"/>
      <c r="I11" s="14" t="s">
        <v>365</v>
      </c>
      <c r="J11" s="7"/>
      <c r="K11" s="7"/>
      <c r="L11" s="7"/>
      <c r="M11" s="7"/>
      <c r="O11" s="110"/>
      <c r="P11" s="24"/>
      <c r="Q11" s="24"/>
      <c r="R11" s="200"/>
      <c r="S11" s="200"/>
      <c r="T11" s="200"/>
      <c r="U11" s="200"/>
      <c r="V11" s="200"/>
      <c r="W11" s="200"/>
      <c r="X11" s="200"/>
      <c r="Y11" s="200"/>
      <c r="Z11" s="24"/>
    </row>
    <row r="12" spans="2:26" x14ac:dyDescent="0.25">
      <c r="B12" s="1" t="s">
        <v>366</v>
      </c>
      <c r="C12" s="253" t="s">
        <v>367</v>
      </c>
      <c r="D12" s="253"/>
      <c r="E12" s="253" t="s">
        <v>368</v>
      </c>
      <c r="F12" s="253"/>
      <c r="G12" s="253" t="s">
        <v>369</v>
      </c>
      <c r="H12" s="253"/>
      <c r="I12" s="14" t="s">
        <v>370</v>
      </c>
      <c r="J12" s="7"/>
      <c r="K12" s="7"/>
      <c r="L12" s="7"/>
      <c r="M12" s="7"/>
      <c r="O12" s="110">
        <v>2.8000000000000001E-2</v>
      </c>
      <c r="P12" s="24"/>
      <c r="Q12" s="24"/>
      <c r="R12" s="200"/>
      <c r="S12" s="200"/>
      <c r="T12" s="200"/>
      <c r="U12" s="200"/>
      <c r="V12" s="200"/>
      <c r="W12" s="200"/>
      <c r="X12" s="200"/>
      <c r="Y12" s="200"/>
      <c r="Z12" s="24"/>
    </row>
    <row r="13" spans="2:26" x14ac:dyDescent="0.25">
      <c r="B13" s="1"/>
      <c r="C13" s="197"/>
      <c r="D13" s="197"/>
      <c r="E13" s="253"/>
      <c r="F13" s="253"/>
      <c r="G13" s="253"/>
      <c r="H13" s="253"/>
      <c r="I13" s="14" t="s">
        <v>371</v>
      </c>
      <c r="J13" s="7"/>
      <c r="K13" s="7"/>
      <c r="L13" s="7"/>
      <c r="M13" s="7"/>
      <c r="O13" s="110"/>
      <c r="P13" s="24"/>
      <c r="Q13" s="24"/>
      <c r="R13" s="200"/>
      <c r="S13" s="200"/>
      <c r="T13" s="200"/>
      <c r="U13" s="200"/>
      <c r="V13" s="200"/>
      <c r="W13" s="200"/>
      <c r="X13" s="200"/>
      <c r="Y13" s="200"/>
      <c r="Z13" s="24"/>
    </row>
    <row r="14" spans="2:26" x14ac:dyDescent="0.25">
      <c r="B14" s="11" t="s">
        <v>372</v>
      </c>
      <c r="C14" s="252" t="s">
        <v>373</v>
      </c>
      <c r="D14" s="252"/>
      <c r="E14" s="252" t="s">
        <v>374</v>
      </c>
      <c r="F14" s="252"/>
      <c r="G14" s="252" t="s">
        <v>375</v>
      </c>
      <c r="H14" s="252"/>
      <c r="I14" s="14" t="s">
        <v>376</v>
      </c>
      <c r="K14" s="7"/>
      <c r="L14" s="7"/>
      <c r="M14" s="7"/>
      <c r="O14" s="110">
        <v>1.9699999999999999E-2</v>
      </c>
      <c r="P14" s="24"/>
      <c r="Q14" s="24"/>
      <c r="R14" s="200"/>
      <c r="S14" s="200"/>
      <c r="T14" s="200"/>
      <c r="U14" s="26"/>
      <c r="V14" s="200"/>
      <c r="W14" s="200"/>
      <c r="X14" s="200"/>
      <c r="Y14" s="200"/>
      <c r="Z14" s="24"/>
    </row>
    <row r="15" spans="2:26" x14ac:dyDescent="0.25">
      <c r="B15" s="11"/>
      <c r="C15" s="196"/>
      <c r="D15" s="196"/>
      <c r="E15" s="252"/>
      <c r="F15" s="252"/>
      <c r="G15" s="252"/>
      <c r="H15" s="252"/>
      <c r="I15" s="14" t="s">
        <v>377</v>
      </c>
      <c r="J15" s="7"/>
      <c r="K15" s="7"/>
      <c r="L15" s="7"/>
      <c r="M15" s="7"/>
      <c r="O15" s="110"/>
      <c r="P15" s="24"/>
      <c r="Q15" s="24"/>
      <c r="R15" s="200"/>
      <c r="S15" s="200"/>
      <c r="T15" s="200"/>
      <c r="U15" s="200"/>
      <c r="V15" s="200"/>
      <c r="W15" s="200"/>
      <c r="X15" s="200"/>
      <c r="Y15" s="200"/>
      <c r="Z15" s="24"/>
    </row>
    <row r="16" spans="2:26" x14ac:dyDescent="0.25">
      <c r="B16" s="1" t="s">
        <v>378</v>
      </c>
      <c r="C16" s="253" t="s">
        <v>373</v>
      </c>
      <c r="D16" s="253"/>
      <c r="E16" s="253" t="s">
        <v>374</v>
      </c>
      <c r="F16" s="253"/>
      <c r="G16" s="253" t="s">
        <v>375</v>
      </c>
      <c r="H16" s="253"/>
      <c r="I16" s="15" t="s">
        <v>379</v>
      </c>
      <c r="J16" s="14"/>
      <c r="K16" s="7"/>
      <c r="L16" s="7"/>
      <c r="M16" s="7"/>
      <c r="O16" s="110">
        <v>7.0000000000000001E-3</v>
      </c>
      <c r="P16" s="24"/>
      <c r="Q16" s="24"/>
      <c r="R16" s="200"/>
      <c r="S16" s="200"/>
      <c r="T16" s="200"/>
      <c r="U16" s="26"/>
      <c r="V16" s="200"/>
      <c r="W16" s="200"/>
      <c r="X16" s="200"/>
      <c r="Y16" s="200"/>
      <c r="Z16" s="24"/>
    </row>
    <row r="17" spans="2:26" x14ac:dyDescent="0.25">
      <c r="B17" s="1"/>
      <c r="C17" s="197"/>
      <c r="D17" s="197"/>
      <c r="E17" s="253"/>
      <c r="F17" s="253"/>
      <c r="G17" s="253"/>
      <c r="H17" s="253"/>
      <c r="I17" s="14" t="s">
        <v>380</v>
      </c>
      <c r="J17" s="14"/>
      <c r="K17" s="7"/>
      <c r="L17" s="7"/>
      <c r="M17" s="7"/>
      <c r="O17" s="110"/>
      <c r="P17" s="24"/>
      <c r="Q17" s="24"/>
      <c r="R17" s="200"/>
      <c r="S17" s="200"/>
      <c r="T17" s="200"/>
      <c r="U17" s="200"/>
      <c r="V17" s="200"/>
      <c r="W17" s="200"/>
      <c r="X17" s="200"/>
      <c r="Y17" s="200"/>
      <c r="Z17" s="24"/>
    </row>
    <row r="18" spans="2:26" x14ac:dyDescent="0.25">
      <c r="B18" s="11" t="s">
        <v>381</v>
      </c>
      <c r="C18" s="265" t="s">
        <v>374</v>
      </c>
      <c r="D18" s="265"/>
      <c r="E18" s="252" t="s">
        <v>382</v>
      </c>
      <c r="F18" s="252"/>
      <c r="G18" s="252" t="s">
        <v>383</v>
      </c>
      <c r="H18" s="252"/>
      <c r="I18" s="14" t="s">
        <v>384</v>
      </c>
      <c r="K18" s="7"/>
      <c r="L18" s="7"/>
      <c r="M18" s="7"/>
      <c r="O18" s="110">
        <v>7.5500000000000003E-3</v>
      </c>
      <c r="P18" s="24"/>
      <c r="Q18" s="24"/>
      <c r="R18" s="27"/>
      <c r="S18" s="200"/>
      <c r="T18" s="200"/>
      <c r="U18" s="200"/>
      <c r="V18" s="200"/>
      <c r="W18" s="200"/>
      <c r="X18" s="28"/>
      <c r="Y18" s="200"/>
      <c r="Z18" s="24"/>
    </row>
    <row r="19" spans="2:26" x14ac:dyDescent="0.25">
      <c r="B19" s="11"/>
      <c r="C19" s="196"/>
      <c r="D19" s="196"/>
      <c r="E19" s="252"/>
      <c r="F19" s="252"/>
      <c r="G19" s="252"/>
      <c r="H19" s="252"/>
      <c r="I19" s="14"/>
      <c r="O19" s="110"/>
      <c r="P19" s="24"/>
      <c r="Q19" s="24"/>
      <c r="R19" s="200"/>
      <c r="S19" s="200"/>
      <c r="T19" s="200"/>
      <c r="U19" s="200"/>
      <c r="V19" s="200"/>
      <c r="W19" s="200"/>
      <c r="X19" s="200"/>
      <c r="Y19" s="200"/>
      <c r="Z19" s="24"/>
    </row>
    <row r="20" spans="2:26" x14ac:dyDescent="0.25">
      <c r="B20" s="1" t="s">
        <v>385</v>
      </c>
      <c r="C20" s="253" t="s">
        <v>386</v>
      </c>
      <c r="D20" s="253"/>
      <c r="E20" s="253" t="s">
        <v>387</v>
      </c>
      <c r="F20" s="253"/>
      <c r="G20" s="253" t="s">
        <v>388</v>
      </c>
      <c r="H20" s="253"/>
      <c r="I20" s="14"/>
      <c r="O20" s="110">
        <v>0.02</v>
      </c>
      <c r="P20" s="24"/>
      <c r="Q20" s="24"/>
      <c r="R20" s="200"/>
      <c r="S20" s="200"/>
      <c r="T20" s="200"/>
      <c r="U20" s="200"/>
      <c r="V20" s="200"/>
      <c r="W20" s="200"/>
      <c r="X20" s="200"/>
      <c r="Y20" s="200"/>
      <c r="Z20" s="24"/>
    </row>
    <row r="21" spans="2:26" x14ac:dyDescent="0.25">
      <c r="B21" s="1"/>
      <c r="C21" s="197"/>
      <c r="D21" s="197"/>
      <c r="E21" s="253"/>
      <c r="F21" s="253"/>
      <c r="G21" s="253"/>
      <c r="H21" s="253"/>
      <c r="O21" s="110"/>
      <c r="P21" s="24"/>
      <c r="Q21" s="24"/>
      <c r="R21" s="200"/>
      <c r="S21" s="200"/>
      <c r="T21" s="200"/>
      <c r="U21" s="200"/>
      <c r="V21" s="200"/>
      <c r="W21" s="200"/>
      <c r="X21" s="200"/>
      <c r="Y21" s="200"/>
      <c r="Z21" s="24"/>
    </row>
    <row r="22" spans="2:26" x14ac:dyDescent="0.25">
      <c r="B22" s="11" t="s">
        <v>389</v>
      </c>
      <c r="C22" s="252" t="s">
        <v>390</v>
      </c>
      <c r="D22" s="252"/>
      <c r="E22" s="252" t="s">
        <v>391</v>
      </c>
      <c r="F22" s="252"/>
      <c r="G22" s="252" t="s">
        <v>392</v>
      </c>
      <c r="H22" s="252"/>
      <c r="O22" s="110">
        <v>0.01</v>
      </c>
      <c r="P22" s="24"/>
      <c r="Q22" s="24"/>
      <c r="R22" s="200"/>
      <c r="S22" s="200"/>
      <c r="T22" s="200"/>
      <c r="U22" s="200"/>
      <c r="V22" s="200"/>
      <c r="W22" s="200"/>
      <c r="X22" s="200"/>
      <c r="Y22" s="200"/>
      <c r="Z22" s="24"/>
    </row>
    <row r="23" spans="2:26" x14ac:dyDescent="0.25">
      <c r="B23" s="11"/>
      <c r="C23" s="196"/>
      <c r="D23" s="196"/>
      <c r="E23" s="252"/>
      <c r="F23" s="252"/>
      <c r="G23" s="252"/>
      <c r="H23" s="252"/>
      <c r="O23" s="110"/>
      <c r="P23" s="24"/>
      <c r="Q23" s="24"/>
      <c r="R23" s="200"/>
      <c r="S23" s="200"/>
      <c r="T23" s="200"/>
      <c r="U23" s="200"/>
      <c r="V23" s="200"/>
      <c r="W23" s="200"/>
      <c r="X23" s="200"/>
      <c r="Y23" s="200"/>
      <c r="Z23" s="24"/>
    </row>
    <row r="24" spans="2:26" x14ac:dyDescent="0.25">
      <c r="B24" s="1" t="s">
        <v>393</v>
      </c>
      <c r="C24" s="253" t="s">
        <v>391</v>
      </c>
      <c r="D24" s="253"/>
      <c r="E24" s="285" t="s">
        <v>394</v>
      </c>
      <c r="F24" s="285"/>
      <c r="G24" s="253" t="s">
        <v>395</v>
      </c>
      <c r="H24" s="253"/>
      <c r="O24" s="112">
        <v>8.7000000000000001E-4</v>
      </c>
      <c r="P24" s="24"/>
      <c r="Q24" s="24"/>
      <c r="R24" s="200"/>
      <c r="S24" s="200"/>
      <c r="T24" s="200"/>
      <c r="U24" s="200"/>
      <c r="V24" s="200"/>
      <c r="W24" s="200"/>
      <c r="X24" s="200"/>
      <c r="Y24" s="200"/>
      <c r="Z24" s="24"/>
    </row>
    <row r="25" spans="2:26" x14ac:dyDescent="0.25">
      <c r="B25" s="1"/>
      <c r="C25" s="197"/>
      <c r="D25" s="197"/>
      <c r="E25" s="253"/>
      <c r="F25" s="253"/>
      <c r="G25" s="253"/>
      <c r="H25" s="253"/>
      <c r="O25" s="112"/>
      <c r="P25" s="24"/>
      <c r="Q25" s="24"/>
      <c r="R25" s="200"/>
      <c r="S25" s="200"/>
      <c r="T25" s="200"/>
      <c r="U25" s="200"/>
      <c r="V25" s="200"/>
      <c r="W25" s="200"/>
      <c r="X25" s="200"/>
      <c r="Y25" s="200"/>
      <c r="Z25" s="24"/>
    </row>
    <row r="26" spans="2:26" x14ac:dyDescent="0.25">
      <c r="B26" s="11" t="s">
        <v>396</v>
      </c>
      <c r="C26" s="252" t="s">
        <v>373</v>
      </c>
      <c r="D26" s="252"/>
      <c r="E26" s="252" t="s">
        <v>374</v>
      </c>
      <c r="F26" s="252"/>
      <c r="G26" s="252" t="s">
        <v>375</v>
      </c>
      <c r="H26" s="252"/>
      <c r="O26" s="112">
        <v>1.8E-3</v>
      </c>
      <c r="P26" s="24"/>
      <c r="Q26" s="24"/>
      <c r="R26" s="200"/>
      <c r="S26" s="200"/>
      <c r="T26" s="200"/>
      <c r="U26" s="26"/>
      <c r="V26" s="200"/>
      <c r="W26" s="200"/>
      <c r="X26" s="200"/>
      <c r="Y26" s="200"/>
      <c r="Z26" s="24"/>
    </row>
    <row r="27" spans="2:26" x14ac:dyDescent="0.25">
      <c r="B27" s="11"/>
      <c r="C27" s="23"/>
      <c r="D27" s="196"/>
      <c r="E27" s="188"/>
      <c r="F27" s="188"/>
      <c r="G27" s="188"/>
      <c r="H27" s="188"/>
      <c r="O27" s="110"/>
      <c r="P27" s="24"/>
      <c r="Q27" s="24"/>
      <c r="R27" s="200"/>
      <c r="S27" s="200"/>
      <c r="T27" s="200"/>
      <c r="U27" s="26"/>
      <c r="V27" s="200"/>
      <c r="W27" s="200"/>
      <c r="X27" s="200"/>
      <c r="Y27" s="200"/>
      <c r="Z27" s="24"/>
    </row>
    <row r="28" spans="2:26" x14ac:dyDescent="0.25">
      <c r="B28" s="1" t="s">
        <v>397</v>
      </c>
      <c r="C28" s="253" t="s">
        <v>398</v>
      </c>
      <c r="D28" s="253"/>
      <c r="E28" s="253" t="s">
        <v>399</v>
      </c>
      <c r="F28" s="253"/>
      <c r="G28" s="253" t="s">
        <v>400</v>
      </c>
      <c r="H28" s="253"/>
      <c r="O28" s="111">
        <v>0</v>
      </c>
      <c r="P28" s="24"/>
      <c r="Q28" s="24"/>
      <c r="R28" s="200"/>
      <c r="S28" s="200"/>
      <c r="T28" s="200"/>
      <c r="U28" s="26"/>
      <c r="V28" s="200"/>
      <c r="W28" s="200"/>
      <c r="X28" s="200"/>
      <c r="Y28" s="200"/>
      <c r="Z28" s="24"/>
    </row>
    <row r="29" spans="2:26" ht="15.75" thickBot="1" x14ac:dyDescent="0.3">
      <c r="C29" s="251"/>
      <c r="D29" s="251"/>
      <c r="E29" s="251"/>
      <c r="F29" s="251"/>
      <c r="G29" s="251"/>
      <c r="H29" s="251"/>
      <c r="O29" s="110"/>
      <c r="P29" s="24"/>
      <c r="Q29" s="24"/>
      <c r="R29" s="200"/>
      <c r="S29" s="200"/>
      <c r="T29" s="200"/>
      <c r="U29" s="200"/>
      <c r="V29" s="200"/>
      <c r="W29" s="200"/>
      <c r="X29" s="200"/>
      <c r="Y29" s="200"/>
      <c r="Z29" s="24"/>
    </row>
    <row r="30" spans="2:26" x14ac:dyDescent="0.25">
      <c r="B30" s="217" t="s">
        <v>401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O30" s="100">
        <f>SUM(O6:O28)</f>
        <v>0.89162000000000008</v>
      </c>
      <c r="R30" s="187"/>
      <c r="S30" s="187"/>
      <c r="T30" s="187"/>
      <c r="U30" s="187"/>
      <c r="V30" s="187"/>
      <c r="W30" s="187"/>
      <c r="X30" s="187"/>
      <c r="Y30" s="187"/>
    </row>
    <row r="31" spans="2:26" x14ac:dyDescent="0.25">
      <c r="B31" s="3" t="s">
        <v>402</v>
      </c>
      <c r="C31" s="232" t="s">
        <v>403</v>
      </c>
      <c r="D31" s="232"/>
      <c r="E31" s="233" t="s">
        <v>404</v>
      </c>
      <c r="F31" s="233"/>
      <c r="G31" s="232" t="s">
        <v>405</v>
      </c>
      <c r="H31" s="232"/>
      <c r="I31" s="232" t="s">
        <v>406</v>
      </c>
      <c r="J31" s="232"/>
      <c r="K31" s="234" t="s">
        <v>407</v>
      </c>
      <c r="L31" s="235"/>
      <c r="M31" s="236"/>
    </row>
    <row r="32" spans="2:26" ht="15.75" thickBot="1" x14ac:dyDescent="0.3">
      <c r="B32" s="5">
        <v>3</v>
      </c>
      <c r="C32" s="237">
        <v>3</v>
      </c>
      <c r="D32" s="238"/>
      <c r="E32" s="239">
        <v>0.25600000000000001</v>
      </c>
      <c r="F32" s="238"/>
      <c r="G32" s="240"/>
      <c r="H32" s="240"/>
      <c r="I32" s="241"/>
      <c r="J32" s="241"/>
      <c r="K32" s="242">
        <v>3.4000000000000002E-2</v>
      </c>
      <c r="L32" s="243"/>
      <c r="M32" s="244"/>
      <c r="O32" s="9"/>
    </row>
    <row r="33" spans="2:13" x14ac:dyDescent="0.25">
      <c r="B33" s="1"/>
      <c r="C33" s="1"/>
      <c r="D33" s="1"/>
      <c r="E33" s="1"/>
      <c r="F33" s="1"/>
      <c r="G33" s="1"/>
      <c r="H33" s="1"/>
    </row>
    <row r="34" spans="2:13" x14ac:dyDescent="0.25">
      <c r="B34" s="217" t="s">
        <v>408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9"/>
    </row>
    <row r="35" spans="2:13" x14ac:dyDescent="0.25">
      <c r="B35" s="122" t="s">
        <v>409</v>
      </c>
      <c r="C35" s="220" t="s">
        <v>410</v>
      </c>
      <c r="D35" s="220"/>
      <c r="E35" s="221" t="s">
        <v>411</v>
      </c>
      <c r="F35" s="221"/>
      <c r="G35" s="221" t="s">
        <v>412</v>
      </c>
      <c r="H35" s="221"/>
      <c r="I35" s="220" t="s">
        <v>413</v>
      </c>
      <c r="J35" s="220"/>
      <c r="K35" s="220" t="s">
        <v>414</v>
      </c>
      <c r="L35" s="220"/>
      <c r="M35" s="222"/>
    </row>
    <row r="36" spans="2:13" x14ac:dyDescent="0.25">
      <c r="B36" s="124" t="s">
        <v>415</v>
      </c>
      <c r="C36" s="245" t="s">
        <v>416</v>
      </c>
      <c r="D36" s="246"/>
      <c r="E36" s="248" t="s">
        <v>417</v>
      </c>
      <c r="F36" s="248"/>
      <c r="G36" s="247" t="s">
        <v>418</v>
      </c>
      <c r="H36" s="247"/>
      <c r="I36" s="248" t="s">
        <v>419</v>
      </c>
      <c r="J36" s="248"/>
      <c r="K36" s="247" t="s">
        <v>420</v>
      </c>
      <c r="L36" s="247"/>
      <c r="M36" s="249"/>
    </row>
    <row r="37" spans="2:13" ht="15.75" customHeight="1" x14ac:dyDescent="0.25">
      <c r="B37" s="168" t="s">
        <v>421</v>
      </c>
      <c r="C37" s="291" t="s">
        <v>422</v>
      </c>
      <c r="D37" s="292"/>
      <c r="E37" s="259" t="s">
        <v>423</v>
      </c>
      <c r="F37" s="259"/>
      <c r="G37" s="260" t="s">
        <v>424</v>
      </c>
      <c r="H37" s="260"/>
      <c r="I37" s="260" t="s">
        <v>425</v>
      </c>
      <c r="J37" s="260"/>
      <c r="K37" s="260" t="s">
        <v>426</v>
      </c>
      <c r="L37" s="260"/>
      <c r="M37" s="261"/>
    </row>
    <row r="39" spans="2:13" ht="23.25" x14ac:dyDescent="0.35">
      <c r="B39" s="29" t="s">
        <v>334</v>
      </c>
      <c r="C39" s="295" t="s">
        <v>55</v>
      </c>
      <c r="D39" s="295"/>
      <c r="E39" s="295"/>
      <c r="F39" s="295"/>
      <c r="G39" s="295"/>
      <c r="H39" s="295"/>
      <c r="I39" s="295"/>
      <c r="J39" s="295"/>
    </row>
    <row r="40" spans="2:13" ht="18.75" x14ac:dyDescent="0.3">
      <c r="B40" s="12" t="s">
        <v>335</v>
      </c>
      <c r="C40" s="195" t="s">
        <v>336</v>
      </c>
      <c r="D40" s="228" t="s">
        <v>427</v>
      </c>
      <c r="E40" s="228"/>
      <c r="F40" s="1" t="s">
        <v>428</v>
      </c>
      <c r="L40" s="12" t="s">
        <v>339</v>
      </c>
      <c r="M40" s="6" t="s">
        <v>54</v>
      </c>
    </row>
    <row r="42" spans="2:13" x14ac:dyDescent="0.25">
      <c r="B42" s="2" t="s">
        <v>341</v>
      </c>
      <c r="C42" s="250" t="s">
        <v>429</v>
      </c>
      <c r="D42" s="250"/>
      <c r="E42" s="250" t="s">
        <v>430</v>
      </c>
      <c r="F42" s="250"/>
      <c r="G42" s="228" t="s">
        <v>345</v>
      </c>
      <c r="H42" s="228"/>
      <c r="I42" s="228"/>
      <c r="J42" s="228"/>
      <c r="K42" s="228"/>
      <c r="L42" s="228"/>
      <c r="M42" s="228"/>
    </row>
    <row r="44" spans="2:13" x14ac:dyDescent="0.25">
      <c r="B44" s="13" t="s">
        <v>431</v>
      </c>
      <c r="C44" s="252" t="s">
        <v>432</v>
      </c>
      <c r="D44" s="252"/>
      <c r="E44" s="252" t="s">
        <v>433</v>
      </c>
      <c r="F44" s="252"/>
      <c r="G44" s="14" t="s">
        <v>434</v>
      </c>
      <c r="H44" s="14"/>
    </row>
    <row r="45" spans="2:13" x14ac:dyDescent="0.25">
      <c r="B45" s="13"/>
      <c r="C45" s="188"/>
      <c r="D45" s="188"/>
      <c r="E45" s="188"/>
      <c r="F45" s="188"/>
      <c r="G45" s="14" t="s">
        <v>435</v>
      </c>
      <c r="H45" s="14"/>
    </row>
    <row r="46" spans="2:13" x14ac:dyDescent="0.25">
      <c r="B46" s="14" t="s">
        <v>436</v>
      </c>
      <c r="C46" s="290" t="s">
        <v>437</v>
      </c>
      <c r="D46" s="290"/>
      <c r="E46" s="290" t="s">
        <v>438</v>
      </c>
      <c r="F46" s="290"/>
      <c r="G46" s="14" t="s">
        <v>439</v>
      </c>
      <c r="H46" s="14"/>
    </row>
    <row r="47" spans="2:13" x14ac:dyDescent="0.25">
      <c r="B47" s="14" t="s">
        <v>440</v>
      </c>
      <c r="C47" s="189"/>
      <c r="D47" s="189"/>
      <c r="E47" s="189"/>
      <c r="F47" s="189"/>
      <c r="G47" s="14" t="s">
        <v>441</v>
      </c>
      <c r="H47" s="14"/>
    </row>
    <row r="48" spans="2:13" x14ac:dyDescent="0.25">
      <c r="B48" s="13" t="s">
        <v>442</v>
      </c>
      <c r="C48" s="252" t="s">
        <v>437</v>
      </c>
      <c r="D48" s="252"/>
      <c r="E48" s="252" t="s">
        <v>438</v>
      </c>
      <c r="F48" s="252"/>
      <c r="G48" s="14" t="s">
        <v>443</v>
      </c>
      <c r="H48" s="14"/>
    </row>
    <row r="49" spans="2:13" x14ac:dyDescent="0.25">
      <c r="B49" s="13"/>
      <c r="C49" s="188"/>
      <c r="D49" s="188"/>
      <c r="E49" s="188"/>
      <c r="F49" s="188"/>
      <c r="G49" s="14" t="s">
        <v>444</v>
      </c>
      <c r="H49" s="14"/>
    </row>
    <row r="50" spans="2:13" x14ac:dyDescent="0.25">
      <c r="B50" s="14" t="s">
        <v>445</v>
      </c>
      <c r="C50" s="290" t="s">
        <v>446</v>
      </c>
      <c r="D50" s="290"/>
      <c r="E50" s="290" t="s">
        <v>447</v>
      </c>
      <c r="F50" s="290"/>
      <c r="G50" s="14" t="s">
        <v>448</v>
      </c>
      <c r="H50" s="14"/>
    </row>
    <row r="51" spans="2:13" x14ac:dyDescent="0.25">
      <c r="B51" s="14"/>
      <c r="C51" s="189"/>
      <c r="D51" s="189"/>
      <c r="E51" s="189"/>
      <c r="F51" s="189"/>
      <c r="G51" s="14" t="s">
        <v>449</v>
      </c>
      <c r="H51" s="14"/>
    </row>
    <row r="52" spans="2:13" x14ac:dyDescent="0.25">
      <c r="B52" s="13" t="s">
        <v>450</v>
      </c>
      <c r="C52" s="252" t="s">
        <v>451</v>
      </c>
      <c r="D52" s="252"/>
      <c r="E52" s="252" t="s">
        <v>452</v>
      </c>
      <c r="F52" s="252"/>
      <c r="G52" s="14" t="s">
        <v>453</v>
      </c>
    </row>
    <row r="53" spans="2:13" x14ac:dyDescent="0.25">
      <c r="B53" s="13"/>
      <c r="C53" s="188"/>
      <c r="D53" s="188"/>
      <c r="E53" s="188"/>
      <c r="F53" s="188"/>
    </row>
    <row r="54" spans="2:13" x14ac:dyDescent="0.25">
      <c r="B54" s="14" t="s">
        <v>454</v>
      </c>
      <c r="C54" s="290" t="s">
        <v>455</v>
      </c>
      <c r="D54" s="290"/>
      <c r="E54" s="290" t="s">
        <v>456</v>
      </c>
      <c r="F54" s="290"/>
    </row>
    <row r="55" spans="2:13" x14ac:dyDescent="0.25">
      <c r="B55" s="14"/>
      <c r="C55" s="189"/>
      <c r="D55" s="189"/>
      <c r="E55" s="189"/>
      <c r="F55" s="189"/>
    </row>
    <row r="56" spans="2:13" x14ac:dyDescent="0.25">
      <c r="B56" s="13" t="s">
        <v>457</v>
      </c>
      <c r="C56" s="252" t="s">
        <v>455</v>
      </c>
      <c r="D56" s="252"/>
      <c r="E56" s="252" t="s">
        <v>456</v>
      </c>
      <c r="F56" s="252"/>
    </row>
    <row r="57" spans="2:13" x14ac:dyDescent="0.25">
      <c r="B57" s="13"/>
      <c r="C57" s="188"/>
      <c r="D57" s="188"/>
      <c r="E57" s="188"/>
      <c r="F57" s="188"/>
    </row>
    <row r="58" spans="2:13" x14ac:dyDescent="0.25">
      <c r="B58" s="14" t="s">
        <v>458</v>
      </c>
      <c r="C58" s="290" t="s">
        <v>459</v>
      </c>
      <c r="D58" s="290"/>
      <c r="E58" s="290" t="s">
        <v>460</v>
      </c>
      <c r="F58" s="290"/>
    </row>
    <row r="59" spans="2:13" x14ac:dyDescent="0.25">
      <c r="B59" s="14"/>
      <c r="C59" s="189"/>
      <c r="D59" s="189"/>
      <c r="E59" s="189"/>
      <c r="F59" s="189"/>
    </row>
    <row r="60" spans="2:13" x14ac:dyDescent="0.25">
      <c r="B60" s="13" t="s">
        <v>461</v>
      </c>
      <c r="C60" s="252" t="s">
        <v>462</v>
      </c>
      <c r="D60" s="252"/>
      <c r="E60" s="252" t="s">
        <v>463</v>
      </c>
      <c r="F60" s="252"/>
    </row>
    <row r="61" spans="2:13" x14ac:dyDescent="0.25">
      <c r="B61" s="13"/>
      <c r="C61" s="188"/>
      <c r="D61" s="188"/>
      <c r="E61" s="188"/>
      <c r="F61" s="188"/>
    </row>
    <row r="62" spans="2:13" x14ac:dyDescent="0.25">
      <c r="B62" s="31" t="s">
        <v>464</v>
      </c>
      <c r="C62" s="255" t="s">
        <v>465</v>
      </c>
      <c r="D62" s="255"/>
      <c r="E62" s="255" t="s">
        <v>466</v>
      </c>
      <c r="F62" s="255"/>
    </row>
    <row r="63" spans="2:13" ht="15.75" thickBot="1" x14ac:dyDescent="0.3">
      <c r="B63" s="31"/>
      <c r="C63" s="31"/>
      <c r="D63" s="31"/>
      <c r="E63" s="31"/>
      <c r="F63" s="31"/>
    </row>
    <row r="64" spans="2:13" x14ac:dyDescent="0.25">
      <c r="B64" s="217" t="s">
        <v>401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9"/>
    </row>
    <row r="65" spans="2:15" x14ac:dyDescent="0.25">
      <c r="B65" s="3" t="s">
        <v>402</v>
      </c>
      <c r="C65" s="232" t="s">
        <v>403</v>
      </c>
      <c r="D65" s="232"/>
      <c r="E65" s="232" t="s">
        <v>467</v>
      </c>
      <c r="F65" s="232"/>
      <c r="G65" s="232" t="s">
        <v>405</v>
      </c>
      <c r="H65" s="232"/>
      <c r="I65" s="232" t="s">
        <v>406</v>
      </c>
      <c r="J65" s="232"/>
      <c r="K65" s="234" t="s">
        <v>468</v>
      </c>
      <c r="L65" s="235"/>
      <c r="M65" s="236"/>
    </row>
    <row r="66" spans="2:15" ht="15.75" thickBot="1" x14ac:dyDescent="0.3">
      <c r="B66" s="5">
        <v>3.0350000000000001</v>
      </c>
      <c r="C66" s="237">
        <v>2</v>
      </c>
      <c r="D66" s="238"/>
      <c r="E66" s="239">
        <v>0.11</v>
      </c>
      <c r="F66" s="238"/>
      <c r="G66" s="240"/>
      <c r="H66" s="240"/>
      <c r="I66" s="241"/>
      <c r="J66" s="241"/>
      <c r="K66" s="242"/>
      <c r="L66" s="243"/>
      <c r="M66" s="244"/>
    </row>
    <row r="67" spans="2:15" ht="15.75" thickBot="1" x14ac:dyDescent="0.3">
      <c r="B67" s="1"/>
      <c r="C67" s="1"/>
      <c r="D67" s="1"/>
      <c r="E67" s="1"/>
      <c r="F67" s="1"/>
      <c r="G67" s="1"/>
      <c r="H67" s="1"/>
    </row>
    <row r="68" spans="2:15" x14ac:dyDescent="0.25">
      <c r="B68" s="217" t="s">
        <v>408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9"/>
    </row>
    <row r="69" spans="2:15" x14ac:dyDescent="0.25">
      <c r="B69" s="3" t="s">
        <v>469</v>
      </c>
      <c r="C69" s="232" t="s">
        <v>470</v>
      </c>
      <c r="D69" s="232"/>
      <c r="E69" s="268" t="s">
        <v>471</v>
      </c>
      <c r="F69" s="268"/>
      <c r="G69" s="232" t="s">
        <v>472</v>
      </c>
      <c r="H69" s="232"/>
      <c r="I69" s="232" t="s">
        <v>473</v>
      </c>
      <c r="J69" s="232"/>
      <c r="K69" s="232" t="s">
        <v>474</v>
      </c>
      <c r="L69" s="232"/>
      <c r="M69" s="269"/>
    </row>
    <row r="70" spans="2:15" ht="15.75" thickBot="1" x14ac:dyDescent="0.3">
      <c r="B70" s="5" t="s">
        <v>475</v>
      </c>
      <c r="C70" s="237" t="s">
        <v>476</v>
      </c>
      <c r="D70" s="238"/>
      <c r="E70" s="240" t="s">
        <v>477</v>
      </c>
      <c r="F70" s="240"/>
      <c r="G70" s="240" t="s">
        <v>478</v>
      </c>
      <c r="H70" s="240"/>
      <c r="I70" s="240" t="s">
        <v>479</v>
      </c>
      <c r="J70" s="240"/>
      <c r="K70" s="240" t="s">
        <v>480</v>
      </c>
      <c r="L70" s="240"/>
      <c r="M70" s="267"/>
    </row>
    <row r="72" spans="2:15" ht="21" x14ac:dyDescent="0.35">
      <c r="B72" s="29" t="s">
        <v>334</v>
      </c>
      <c r="C72" s="297" t="s">
        <v>50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7"/>
    </row>
    <row r="73" spans="2:15" ht="18.75" x14ac:dyDescent="0.3">
      <c r="B73" s="12" t="s">
        <v>335</v>
      </c>
      <c r="C73" s="195" t="s">
        <v>336</v>
      </c>
      <c r="D73" s="228" t="s">
        <v>427</v>
      </c>
      <c r="E73" s="228"/>
      <c r="F73" s="1" t="s">
        <v>428</v>
      </c>
      <c r="L73" s="12" t="s">
        <v>339</v>
      </c>
      <c r="M73" s="6" t="s">
        <v>49</v>
      </c>
      <c r="O73" s="101" t="s">
        <v>481</v>
      </c>
    </row>
    <row r="75" spans="2:15" x14ac:dyDescent="0.25">
      <c r="B75" s="2" t="s">
        <v>341</v>
      </c>
      <c r="C75" s="250" t="s">
        <v>482</v>
      </c>
      <c r="D75" s="250"/>
      <c r="E75" s="250" t="s">
        <v>483</v>
      </c>
      <c r="F75" s="250"/>
      <c r="G75" s="228" t="s">
        <v>345</v>
      </c>
      <c r="H75" s="228"/>
      <c r="I75" s="228"/>
      <c r="J75" s="228"/>
      <c r="K75" s="228"/>
      <c r="L75" s="228"/>
      <c r="M75" s="228"/>
    </row>
    <row r="76" spans="2:15" x14ac:dyDescent="0.25">
      <c r="O76" s="101" t="s">
        <v>484</v>
      </c>
    </row>
    <row r="77" spans="2:15" x14ac:dyDescent="0.25">
      <c r="B77" s="11" t="s">
        <v>485</v>
      </c>
      <c r="C77" s="230" t="s">
        <v>486</v>
      </c>
      <c r="D77" s="230"/>
      <c r="E77" s="230" t="s">
        <v>487</v>
      </c>
      <c r="F77" s="230"/>
      <c r="G77" s="14" t="s">
        <v>488</v>
      </c>
      <c r="H77" s="14"/>
    </row>
    <row r="78" spans="2:15" x14ac:dyDescent="0.25">
      <c r="B78" s="11" t="s">
        <v>489</v>
      </c>
      <c r="C78" s="185"/>
      <c r="D78" s="185"/>
      <c r="E78" s="185"/>
      <c r="F78" s="185"/>
      <c r="G78" s="14" t="s">
        <v>490</v>
      </c>
      <c r="H78" s="14"/>
      <c r="O78" s="98" t="e">
        <f>SUM(1*#REF!)/5</f>
        <v>#REF!</v>
      </c>
    </row>
    <row r="79" spans="2:15" x14ac:dyDescent="0.25">
      <c r="B79" s="1" t="s">
        <v>397</v>
      </c>
      <c r="C79" s="296" t="s">
        <v>491</v>
      </c>
      <c r="D79" s="296"/>
      <c r="E79" s="296" t="s">
        <v>391</v>
      </c>
      <c r="F79" s="296"/>
      <c r="G79" s="14" t="s">
        <v>492</v>
      </c>
      <c r="H79" s="14"/>
      <c r="O79" s="98">
        <v>0</v>
      </c>
    </row>
    <row r="80" spans="2:15" x14ac:dyDescent="0.25">
      <c r="B80" s="1"/>
      <c r="C80" s="195"/>
      <c r="D80" s="195"/>
      <c r="E80" s="195"/>
      <c r="F80" s="195"/>
      <c r="G80" s="14" t="s">
        <v>493</v>
      </c>
      <c r="H80" s="14"/>
      <c r="O80" s="98"/>
    </row>
    <row r="81" spans="2:15" x14ac:dyDescent="0.25">
      <c r="B81" s="11" t="s">
        <v>494</v>
      </c>
      <c r="C81" s="230" t="s">
        <v>495</v>
      </c>
      <c r="D81" s="230"/>
      <c r="E81" s="230" t="s">
        <v>496</v>
      </c>
      <c r="F81" s="230"/>
      <c r="G81" s="14" t="s">
        <v>497</v>
      </c>
      <c r="H81" s="14"/>
      <c r="O81" s="98" t="e">
        <f>SUM(0.5*#REF!)/5</f>
        <v>#REF!</v>
      </c>
    </row>
    <row r="82" spans="2:15" x14ac:dyDescent="0.25">
      <c r="B82" s="11" t="s">
        <v>498</v>
      </c>
      <c r="C82" s="185"/>
      <c r="D82" s="185"/>
      <c r="E82" s="185"/>
      <c r="F82" s="185"/>
      <c r="G82" s="14" t="s">
        <v>499</v>
      </c>
      <c r="H82" s="14"/>
      <c r="O82" s="98"/>
    </row>
    <row r="83" spans="2:15" x14ac:dyDescent="0.25">
      <c r="B83" s="1" t="s">
        <v>500</v>
      </c>
      <c r="C83" s="296" t="s">
        <v>495</v>
      </c>
      <c r="D83" s="296"/>
      <c r="E83" s="296" t="s">
        <v>496</v>
      </c>
      <c r="F83" s="296"/>
      <c r="G83" s="14" t="s">
        <v>501</v>
      </c>
      <c r="H83" s="14"/>
      <c r="O83" s="98" t="e">
        <f>SUM(0.5*#REF!)/5</f>
        <v>#REF!</v>
      </c>
    </row>
    <row r="84" spans="2:15" x14ac:dyDescent="0.25">
      <c r="B84" s="1" t="s">
        <v>498</v>
      </c>
      <c r="C84" s="195"/>
      <c r="D84" s="195"/>
      <c r="E84" s="195"/>
      <c r="F84" s="195"/>
      <c r="G84" s="14" t="s">
        <v>502</v>
      </c>
      <c r="H84" s="14"/>
      <c r="O84" s="98"/>
    </row>
    <row r="85" spans="2:15" x14ac:dyDescent="0.25">
      <c r="B85" s="11" t="s">
        <v>503</v>
      </c>
      <c r="C85" s="230" t="s">
        <v>496</v>
      </c>
      <c r="D85" s="230"/>
      <c r="E85" s="230" t="s">
        <v>504</v>
      </c>
      <c r="F85" s="230"/>
      <c r="G85" s="14" t="s">
        <v>505</v>
      </c>
      <c r="O85" s="98" t="e">
        <f>SUM(2*#REF!)/5</f>
        <v>#REF!</v>
      </c>
    </row>
    <row r="86" spans="2:15" x14ac:dyDescent="0.25">
      <c r="B86" s="11"/>
      <c r="C86" s="185"/>
      <c r="D86" s="185"/>
      <c r="E86" s="185"/>
      <c r="F86" s="185"/>
      <c r="G86" s="14" t="s">
        <v>506</v>
      </c>
      <c r="O86" s="98"/>
    </row>
    <row r="87" spans="2:15" x14ac:dyDescent="0.25">
      <c r="B87" s="1" t="s">
        <v>507</v>
      </c>
      <c r="C87" s="296" t="s">
        <v>508</v>
      </c>
      <c r="D87" s="296"/>
      <c r="E87" s="296" t="s">
        <v>392</v>
      </c>
      <c r="F87" s="296"/>
      <c r="G87" s="14" t="s">
        <v>509</v>
      </c>
      <c r="O87" s="98" t="e">
        <f>SUM(0.25*#REF!)/5</f>
        <v>#REF!</v>
      </c>
    </row>
    <row r="88" spans="2:15" x14ac:dyDescent="0.25">
      <c r="B88" s="1"/>
      <c r="C88" s="195"/>
      <c r="D88" s="195"/>
      <c r="E88" s="195"/>
      <c r="F88" s="195"/>
      <c r="G88" s="14" t="s">
        <v>510</v>
      </c>
      <c r="O88" s="98"/>
    </row>
    <row r="89" spans="2:15" x14ac:dyDescent="0.25">
      <c r="B89" s="11" t="s">
        <v>454</v>
      </c>
      <c r="C89" s="230" t="s">
        <v>486</v>
      </c>
      <c r="D89" s="230"/>
      <c r="E89" s="230" t="s">
        <v>487</v>
      </c>
      <c r="F89" s="230"/>
      <c r="G89" s="14" t="s">
        <v>511</v>
      </c>
      <c r="O89" s="98" t="e">
        <f>SUM(1*#REF!)/5</f>
        <v>#REF!</v>
      </c>
    </row>
    <row r="90" spans="2:15" x14ac:dyDescent="0.25">
      <c r="B90" s="11"/>
      <c r="C90" s="185"/>
      <c r="D90" s="185"/>
      <c r="E90" s="185"/>
      <c r="F90" s="185"/>
      <c r="G90" s="14" t="s">
        <v>512</v>
      </c>
      <c r="O90" s="98"/>
    </row>
    <row r="91" spans="2:15" x14ac:dyDescent="0.25">
      <c r="B91" s="1" t="s">
        <v>457</v>
      </c>
      <c r="C91" s="296" t="s">
        <v>513</v>
      </c>
      <c r="D91" s="296"/>
      <c r="E91" s="296" t="s">
        <v>514</v>
      </c>
      <c r="F91" s="296"/>
      <c r="O91" s="98" t="e">
        <f>SUM(2*#REF!)/5</f>
        <v>#REF!</v>
      </c>
    </row>
    <row r="92" spans="2:15" x14ac:dyDescent="0.25">
      <c r="B92" s="1"/>
      <c r="C92" s="195"/>
      <c r="D92" s="195"/>
      <c r="E92" s="195"/>
      <c r="F92" s="195"/>
      <c r="O92" s="98"/>
    </row>
    <row r="93" spans="2:15" x14ac:dyDescent="0.25">
      <c r="B93" s="11" t="s">
        <v>515</v>
      </c>
      <c r="C93" s="230" t="s">
        <v>516</v>
      </c>
      <c r="D93" s="230"/>
      <c r="E93" s="230" t="s">
        <v>517</v>
      </c>
      <c r="F93" s="230"/>
      <c r="O93" s="98" t="e">
        <f>SUM(1*#REF!)/5</f>
        <v>#REF!</v>
      </c>
    </row>
    <row r="94" spans="2:15" x14ac:dyDescent="0.25">
      <c r="B94" s="11"/>
      <c r="C94" s="185"/>
      <c r="D94" s="185"/>
      <c r="E94" s="185"/>
      <c r="F94" s="185"/>
      <c r="O94" s="98"/>
    </row>
    <row r="95" spans="2:15" x14ac:dyDescent="0.25">
      <c r="B95" s="32" t="s">
        <v>518</v>
      </c>
      <c r="C95" s="288" t="s">
        <v>516</v>
      </c>
      <c r="D95" s="288"/>
      <c r="E95" s="288" t="s">
        <v>517</v>
      </c>
      <c r="F95" s="288"/>
      <c r="O95" s="102" t="e">
        <f>SUM(1*#REF!)/5</f>
        <v>#REF!</v>
      </c>
    </row>
    <row r="96" spans="2:15" x14ac:dyDescent="0.25">
      <c r="B96" s="32"/>
      <c r="C96" s="198"/>
      <c r="D96" s="198"/>
      <c r="E96" s="198"/>
      <c r="F96" s="198"/>
      <c r="O96" s="98"/>
    </row>
    <row r="97" spans="2:15" x14ac:dyDescent="0.25">
      <c r="B97" s="11" t="s">
        <v>519</v>
      </c>
      <c r="C97" s="230" t="s">
        <v>520</v>
      </c>
      <c r="D97" s="230"/>
      <c r="E97" s="230" t="s">
        <v>521</v>
      </c>
      <c r="F97" s="230"/>
      <c r="O97" s="98" t="e">
        <f>SUM(15*#REF!)/5</f>
        <v>#REF!</v>
      </c>
    </row>
    <row r="98" spans="2:15" x14ac:dyDescent="0.25">
      <c r="B98" s="11" t="s">
        <v>522</v>
      </c>
      <c r="C98" s="185"/>
      <c r="D98" s="185"/>
      <c r="E98" s="185"/>
      <c r="F98" s="185"/>
      <c r="O98" s="98"/>
    </row>
    <row r="99" spans="2:15" x14ac:dyDescent="0.25">
      <c r="B99" s="32" t="s">
        <v>523</v>
      </c>
      <c r="C99" s="288" t="s">
        <v>524</v>
      </c>
      <c r="D99" s="288"/>
      <c r="E99" s="288" t="s">
        <v>525</v>
      </c>
      <c r="F99" s="288"/>
      <c r="O99" s="98" t="e">
        <f>SUM(0.67*#REF!)/5</f>
        <v>#REF!</v>
      </c>
    </row>
    <row r="100" spans="2:15" x14ac:dyDescent="0.25">
      <c r="B100" s="32" t="s">
        <v>526</v>
      </c>
      <c r="C100" s="198"/>
      <c r="D100" s="198"/>
      <c r="E100" s="198"/>
      <c r="F100" s="198"/>
      <c r="O100" s="98"/>
    </row>
    <row r="101" spans="2:15" x14ac:dyDescent="0.25">
      <c r="B101" s="11" t="s">
        <v>464</v>
      </c>
      <c r="C101" s="230" t="s">
        <v>527</v>
      </c>
      <c r="D101" s="230"/>
      <c r="E101" s="230" t="s">
        <v>446</v>
      </c>
      <c r="F101" s="230"/>
      <c r="O101" s="99" t="e">
        <f>#REF!</f>
        <v>#REF!</v>
      </c>
    </row>
    <row r="102" spans="2:15" ht="15.75" thickBot="1" x14ac:dyDescent="0.3">
      <c r="B102" s="33"/>
      <c r="C102" s="11"/>
      <c r="D102" s="11"/>
      <c r="E102" s="11"/>
      <c r="F102" s="11"/>
      <c r="O102" s="98"/>
    </row>
    <row r="103" spans="2:15" x14ac:dyDescent="0.25">
      <c r="B103" s="217" t="s">
        <v>401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9"/>
      <c r="O103" s="100" t="e">
        <f>SUM(O78:O102)</f>
        <v>#REF!</v>
      </c>
    </row>
    <row r="104" spans="2:15" x14ac:dyDescent="0.25">
      <c r="B104" s="3" t="s">
        <v>402</v>
      </c>
      <c r="C104" s="232" t="s">
        <v>403</v>
      </c>
      <c r="D104" s="232"/>
      <c r="E104" s="232" t="s">
        <v>467</v>
      </c>
      <c r="F104" s="232"/>
      <c r="G104" s="232" t="s">
        <v>405</v>
      </c>
      <c r="H104" s="232"/>
      <c r="I104" s="232" t="s">
        <v>406</v>
      </c>
      <c r="J104" s="232"/>
      <c r="K104" s="234" t="s">
        <v>468</v>
      </c>
      <c r="L104" s="235"/>
      <c r="M104" s="236"/>
    </row>
    <row r="105" spans="2:15" ht="15.75" thickBot="1" x14ac:dyDescent="0.3">
      <c r="B105" s="5">
        <v>2</v>
      </c>
      <c r="C105" s="237">
        <v>2.7</v>
      </c>
      <c r="D105" s="238"/>
      <c r="E105" s="239">
        <v>0.11360000000000001</v>
      </c>
      <c r="F105" s="238"/>
      <c r="G105" s="240"/>
      <c r="H105" s="240"/>
      <c r="I105" s="241"/>
      <c r="J105" s="241"/>
      <c r="K105" s="242"/>
      <c r="L105" s="243"/>
      <c r="M105" s="244"/>
    </row>
    <row r="106" spans="2:15" ht="15.75" thickBot="1" x14ac:dyDescent="0.3">
      <c r="B106" s="1"/>
      <c r="C106" s="1"/>
      <c r="D106" s="1"/>
      <c r="E106" s="1"/>
      <c r="F106" s="1"/>
      <c r="G106" s="1"/>
      <c r="H106" s="1"/>
    </row>
    <row r="107" spans="2:15" x14ac:dyDescent="0.25">
      <c r="B107" s="217" t="s">
        <v>408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9"/>
    </row>
    <row r="108" spans="2:15" x14ac:dyDescent="0.25">
      <c r="B108" s="3" t="s">
        <v>528</v>
      </c>
      <c r="C108" s="232" t="s">
        <v>529</v>
      </c>
      <c r="D108" s="232"/>
      <c r="E108" s="268" t="s">
        <v>530</v>
      </c>
      <c r="F108" s="268"/>
      <c r="G108" s="268" t="s">
        <v>531</v>
      </c>
      <c r="H108" s="268"/>
      <c r="I108" s="232" t="s">
        <v>532</v>
      </c>
      <c r="J108" s="232"/>
      <c r="K108" s="232" t="s">
        <v>533</v>
      </c>
      <c r="L108" s="232"/>
      <c r="M108" s="269"/>
    </row>
    <row r="109" spans="2:15" ht="15.75" thickBot="1" x14ac:dyDescent="0.3">
      <c r="B109" s="5" t="s">
        <v>534</v>
      </c>
      <c r="C109" s="237" t="s">
        <v>535</v>
      </c>
      <c r="D109" s="238"/>
      <c r="E109" s="240" t="s">
        <v>536</v>
      </c>
      <c r="F109" s="240"/>
      <c r="G109" s="240" t="s">
        <v>537</v>
      </c>
      <c r="H109" s="240"/>
      <c r="I109" s="240" t="s">
        <v>538</v>
      </c>
      <c r="J109" s="240"/>
      <c r="K109" s="240" t="s">
        <v>539</v>
      </c>
      <c r="L109" s="240"/>
      <c r="M109" s="267"/>
    </row>
    <row r="111" spans="2:15" ht="23.25" x14ac:dyDescent="0.35">
      <c r="B111" s="29" t="s">
        <v>334</v>
      </c>
      <c r="C111" s="229" t="s">
        <v>540</v>
      </c>
      <c r="D111" s="229"/>
      <c r="E111" s="229"/>
      <c r="F111" s="229"/>
      <c r="G111" s="229"/>
      <c r="H111" s="229"/>
      <c r="I111" s="229"/>
      <c r="J111" s="229"/>
    </row>
    <row r="112" spans="2:15" ht="18.75" x14ac:dyDescent="0.3">
      <c r="B112" s="12" t="s">
        <v>335</v>
      </c>
      <c r="C112" s="195" t="s">
        <v>336</v>
      </c>
      <c r="D112" s="228" t="s">
        <v>427</v>
      </c>
      <c r="E112" s="228"/>
      <c r="F112" s="1" t="s">
        <v>428</v>
      </c>
      <c r="L112" s="12" t="s">
        <v>339</v>
      </c>
      <c r="M112" s="6" t="s">
        <v>127</v>
      </c>
      <c r="O112" s="101" t="s">
        <v>481</v>
      </c>
    </row>
    <row r="114" spans="2:17" x14ac:dyDescent="0.25">
      <c r="B114" s="2" t="s">
        <v>341</v>
      </c>
      <c r="C114" s="250" t="s">
        <v>342</v>
      </c>
      <c r="D114" s="250"/>
      <c r="E114" s="228" t="s">
        <v>345</v>
      </c>
      <c r="F114" s="228"/>
      <c r="G114" s="228"/>
      <c r="H114" s="228"/>
      <c r="I114" s="228"/>
      <c r="O114" s="101" t="s">
        <v>541</v>
      </c>
    </row>
    <row r="115" spans="2:17" x14ac:dyDescent="0.25">
      <c r="C115" s="251"/>
      <c r="D115" s="251"/>
      <c r="E115" s="7"/>
      <c r="F115" s="7"/>
      <c r="G115" s="7"/>
      <c r="H115" s="7"/>
      <c r="I115" s="7"/>
      <c r="O115" s="9" t="s">
        <v>542</v>
      </c>
      <c r="Q115" s="9" t="s">
        <v>543</v>
      </c>
    </row>
    <row r="116" spans="2:17" x14ac:dyDescent="0.25">
      <c r="B116" s="11" t="s">
        <v>544</v>
      </c>
      <c r="C116" s="230" t="s">
        <v>545</v>
      </c>
      <c r="D116" s="230"/>
      <c r="E116" s="14" t="s">
        <v>546</v>
      </c>
      <c r="F116" s="7"/>
      <c r="G116" s="7"/>
      <c r="H116" s="7"/>
      <c r="I116" s="7"/>
      <c r="O116" s="98" t="e">
        <f>#REF!</f>
        <v>#REF!</v>
      </c>
      <c r="Q116" s="98" t="e">
        <f>#REF!</f>
        <v>#REF!</v>
      </c>
    </row>
    <row r="117" spans="2:17" x14ac:dyDescent="0.25">
      <c r="B117" s="11"/>
      <c r="C117" s="185"/>
      <c r="D117" s="185"/>
      <c r="E117" s="14" t="s">
        <v>547</v>
      </c>
      <c r="F117" s="7"/>
      <c r="G117" s="7"/>
      <c r="H117" s="7"/>
      <c r="I117" s="7"/>
      <c r="O117" s="98"/>
    </row>
    <row r="118" spans="2:17" x14ac:dyDescent="0.25">
      <c r="B118" s="1" t="s">
        <v>548</v>
      </c>
      <c r="C118" s="283" t="s">
        <v>549</v>
      </c>
      <c r="D118" s="283"/>
      <c r="E118" s="14" t="s">
        <v>550</v>
      </c>
      <c r="F118" s="7"/>
      <c r="G118" s="7"/>
      <c r="H118" s="7"/>
      <c r="I118" s="7"/>
      <c r="O118" s="103" t="e">
        <f>SUM(4*#REF!)/175</f>
        <v>#REF!</v>
      </c>
      <c r="Q118" s="103" t="e">
        <f>SUM(4*#REF!)/175</f>
        <v>#REF!</v>
      </c>
    </row>
    <row r="119" spans="2:17" x14ac:dyDescent="0.25">
      <c r="B119" s="1"/>
      <c r="C119" s="195"/>
      <c r="D119" s="195"/>
      <c r="E119" s="14" t="s">
        <v>551</v>
      </c>
      <c r="F119" s="7"/>
      <c r="G119" s="7"/>
      <c r="H119" s="7"/>
      <c r="I119" s="7"/>
      <c r="O119" s="98"/>
    </row>
    <row r="120" spans="2:17" x14ac:dyDescent="0.25">
      <c r="B120" s="11" t="s">
        <v>552</v>
      </c>
      <c r="C120" s="230" t="s">
        <v>545</v>
      </c>
      <c r="D120" s="230"/>
      <c r="E120" s="14" t="s">
        <v>553</v>
      </c>
      <c r="F120" s="7"/>
      <c r="G120" s="7"/>
      <c r="H120" s="7"/>
      <c r="I120" s="7"/>
      <c r="O120" s="98" t="e">
        <f>#REF!</f>
        <v>#REF!</v>
      </c>
      <c r="Q120" s="98">
        <v>0</v>
      </c>
    </row>
    <row r="121" spans="2:17" x14ac:dyDescent="0.25">
      <c r="B121" s="11"/>
      <c r="C121" s="185"/>
      <c r="D121" s="185"/>
      <c r="E121" s="14" t="s">
        <v>554</v>
      </c>
      <c r="F121" s="7"/>
      <c r="G121" s="7"/>
      <c r="H121" s="7"/>
      <c r="I121" s="7"/>
      <c r="O121" s="98"/>
    </row>
    <row r="122" spans="2:17" x14ac:dyDescent="0.25">
      <c r="B122" s="1" t="s">
        <v>464</v>
      </c>
      <c r="C122" s="283" t="s">
        <v>545</v>
      </c>
      <c r="D122" s="283"/>
      <c r="E122" s="14" t="s">
        <v>555</v>
      </c>
      <c r="F122" s="7"/>
      <c r="G122" s="7"/>
      <c r="H122" s="7"/>
      <c r="I122" s="7"/>
      <c r="O122" s="99" t="e">
        <f>#REF!</f>
        <v>#REF!</v>
      </c>
      <c r="Q122" s="99" t="e">
        <f>#REF!</f>
        <v>#REF!</v>
      </c>
    </row>
    <row r="123" spans="2:17" x14ac:dyDescent="0.25">
      <c r="B123" s="1"/>
      <c r="C123" s="195"/>
      <c r="D123" s="195"/>
      <c r="E123" s="14" t="s">
        <v>556</v>
      </c>
      <c r="F123" s="7"/>
      <c r="G123" s="7"/>
      <c r="H123" s="7"/>
      <c r="I123" s="7"/>
      <c r="O123" s="98"/>
    </row>
    <row r="124" spans="2:17" x14ac:dyDescent="0.25">
      <c r="B124" s="1"/>
      <c r="C124" s="197"/>
      <c r="D124" s="197"/>
      <c r="F124" s="14" t="s">
        <v>557</v>
      </c>
      <c r="G124" s="7"/>
      <c r="H124" s="7"/>
      <c r="I124" s="7"/>
      <c r="O124" s="100" t="e">
        <f>SUM(O116:O122)</f>
        <v>#REF!</v>
      </c>
      <c r="Q124" s="100" t="e">
        <f>SUM(Q116:Q122)</f>
        <v>#REF!</v>
      </c>
    </row>
    <row r="125" spans="2:17" x14ac:dyDescent="0.25">
      <c r="B125" s="217" t="s">
        <v>558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9"/>
      <c r="O125" s="100"/>
    </row>
    <row r="126" spans="2:17" x14ac:dyDescent="0.25">
      <c r="B126" s="3" t="s">
        <v>402</v>
      </c>
      <c r="C126" s="232" t="s">
        <v>403</v>
      </c>
      <c r="D126" s="232"/>
      <c r="E126" s="232" t="s">
        <v>467</v>
      </c>
      <c r="F126" s="232"/>
      <c r="G126" s="232" t="s">
        <v>405</v>
      </c>
      <c r="H126" s="232"/>
      <c r="I126" s="232" t="s">
        <v>406</v>
      </c>
      <c r="J126" s="232"/>
      <c r="K126" s="234" t="s">
        <v>468</v>
      </c>
      <c r="L126" s="235"/>
      <c r="M126" s="236"/>
      <c r="O126" s="100"/>
    </row>
    <row r="127" spans="2:17" x14ac:dyDescent="0.25">
      <c r="B127" s="5">
        <v>2.25</v>
      </c>
      <c r="C127" s="237">
        <v>2</v>
      </c>
      <c r="D127" s="238"/>
      <c r="E127" s="239"/>
      <c r="F127" s="238"/>
      <c r="G127" s="240"/>
      <c r="H127" s="240"/>
      <c r="I127" s="241"/>
      <c r="J127" s="241"/>
      <c r="K127" s="242"/>
      <c r="L127" s="243"/>
      <c r="M127" s="244"/>
      <c r="O127" s="100"/>
    </row>
    <row r="128" spans="2:17" x14ac:dyDescent="0.25">
      <c r="B128" s="1"/>
      <c r="C128" s="1"/>
      <c r="D128" s="1"/>
      <c r="E128" s="1"/>
      <c r="F128" s="1"/>
      <c r="G128" s="1"/>
      <c r="H128" s="1"/>
      <c r="O128" s="100"/>
    </row>
    <row r="129" spans="2:15" x14ac:dyDescent="0.25">
      <c r="B129" s="217" t="s">
        <v>408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9"/>
      <c r="O129" s="100"/>
    </row>
    <row r="130" spans="2:15" x14ac:dyDescent="0.25">
      <c r="B130" s="122" t="s">
        <v>559</v>
      </c>
      <c r="C130" s="220" t="s">
        <v>560</v>
      </c>
      <c r="D130" s="220"/>
      <c r="E130" s="221" t="s">
        <v>561</v>
      </c>
      <c r="F130" s="221"/>
      <c r="G130" s="221" t="s">
        <v>562</v>
      </c>
      <c r="H130" s="221"/>
      <c r="I130" s="220" t="s">
        <v>563</v>
      </c>
      <c r="J130" s="220"/>
      <c r="K130" s="220" t="s">
        <v>564</v>
      </c>
      <c r="L130" s="220"/>
      <c r="M130" s="222"/>
      <c r="O130" s="100"/>
    </row>
    <row r="131" spans="2:15" x14ac:dyDescent="0.25">
      <c r="B131" s="123" t="s">
        <v>565</v>
      </c>
      <c r="C131" s="225" t="s">
        <v>566</v>
      </c>
      <c r="D131" s="226"/>
      <c r="E131" s="227" t="s">
        <v>567</v>
      </c>
      <c r="F131" s="227"/>
      <c r="G131" s="223" t="s">
        <v>568</v>
      </c>
      <c r="H131" s="223"/>
      <c r="I131" s="227" t="s">
        <v>569</v>
      </c>
      <c r="J131" s="227"/>
      <c r="K131" s="223" t="s">
        <v>570</v>
      </c>
      <c r="L131" s="223"/>
      <c r="M131" s="224"/>
      <c r="O131" s="100"/>
    </row>
    <row r="132" spans="2:15" x14ac:dyDescent="0.25">
      <c r="B132" s="123" t="s">
        <v>571</v>
      </c>
      <c r="C132" s="225" t="s">
        <v>572</v>
      </c>
      <c r="D132" s="226"/>
      <c r="E132" s="227" t="s">
        <v>423</v>
      </c>
      <c r="F132" s="227"/>
      <c r="G132" s="223" t="s">
        <v>573</v>
      </c>
      <c r="H132" s="223"/>
      <c r="I132" s="223" t="s">
        <v>574</v>
      </c>
      <c r="J132" s="223"/>
      <c r="K132" s="223" t="s">
        <v>575</v>
      </c>
      <c r="L132" s="223"/>
      <c r="M132" s="224"/>
      <c r="O132" s="100"/>
    </row>
    <row r="133" spans="2:15" x14ac:dyDescent="0.25">
      <c r="B133" s="1"/>
      <c r="C133" s="197"/>
      <c r="D133" s="197"/>
      <c r="F133" s="14"/>
      <c r="G133" s="7"/>
      <c r="H133" s="7"/>
      <c r="I133" s="7"/>
      <c r="O133" s="100"/>
    </row>
    <row r="134" spans="2:15" x14ac:dyDescent="0.25">
      <c r="B134" s="217" t="s">
        <v>576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9"/>
    </row>
    <row r="135" spans="2:15" x14ac:dyDescent="0.25">
      <c r="B135" s="3" t="s">
        <v>402</v>
      </c>
      <c r="C135" s="232" t="s">
        <v>403</v>
      </c>
      <c r="D135" s="232"/>
      <c r="E135" s="232" t="s">
        <v>467</v>
      </c>
      <c r="F135" s="232"/>
      <c r="G135" s="232" t="s">
        <v>405</v>
      </c>
      <c r="H135" s="232"/>
      <c r="I135" s="232" t="s">
        <v>406</v>
      </c>
      <c r="J135" s="232"/>
      <c r="K135" s="234" t="s">
        <v>468</v>
      </c>
      <c r="L135" s="235"/>
      <c r="M135" s="236"/>
    </row>
    <row r="136" spans="2:15" ht="15.75" thickBot="1" x14ac:dyDescent="0.3">
      <c r="B136" s="5">
        <v>3</v>
      </c>
      <c r="C136" s="237">
        <v>2</v>
      </c>
      <c r="D136" s="238"/>
      <c r="E136" s="239"/>
      <c r="F136" s="238"/>
      <c r="G136" s="240"/>
      <c r="H136" s="240"/>
      <c r="I136" s="241"/>
      <c r="J136" s="241"/>
      <c r="K136" s="242"/>
      <c r="L136" s="243"/>
      <c r="M136" s="244"/>
    </row>
    <row r="137" spans="2:15" x14ac:dyDescent="0.25">
      <c r="B137" s="1"/>
      <c r="C137" s="1"/>
      <c r="D137" s="1"/>
      <c r="E137" s="1"/>
      <c r="F137" s="1"/>
      <c r="G137" s="1"/>
      <c r="H137" s="1"/>
    </row>
    <row r="138" spans="2:15" x14ac:dyDescent="0.25">
      <c r="B138" s="217" t="s">
        <v>408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9"/>
    </row>
    <row r="139" spans="2:15" x14ac:dyDescent="0.25">
      <c r="B139" s="122" t="s">
        <v>577</v>
      </c>
      <c r="C139" s="220" t="s">
        <v>578</v>
      </c>
      <c r="D139" s="220"/>
      <c r="E139" s="221" t="s">
        <v>579</v>
      </c>
      <c r="F139" s="221"/>
      <c r="G139" s="221" t="s">
        <v>580</v>
      </c>
      <c r="H139" s="221"/>
      <c r="I139" s="220" t="s">
        <v>581</v>
      </c>
      <c r="J139" s="220"/>
      <c r="K139" s="220" t="s">
        <v>564</v>
      </c>
      <c r="L139" s="220"/>
      <c r="M139" s="222"/>
    </row>
    <row r="140" spans="2:15" x14ac:dyDescent="0.25">
      <c r="B140" s="123" t="s">
        <v>565</v>
      </c>
      <c r="C140" s="225" t="s">
        <v>582</v>
      </c>
      <c r="D140" s="226"/>
      <c r="E140" s="227" t="s">
        <v>583</v>
      </c>
      <c r="F140" s="227"/>
      <c r="G140" s="223" t="s">
        <v>584</v>
      </c>
      <c r="H140" s="223"/>
      <c r="I140" s="227" t="s">
        <v>569</v>
      </c>
      <c r="J140" s="227"/>
      <c r="K140" s="223" t="s">
        <v>585</v>
      </c>
      <c r="L140" s="223"/>
      <c r="M140" s="224"/>
    </row>
    <row r="141" spans="2:15" ht="15.75" customHeight="1" x14ac:dyDescent="0.25">
      <c r="B141" s="123" t="s">
        <v>571</v>
      </c>
      <c r="C141" s="225" t="s">
        <v>572</v>
      </c>
      <c r="D141" s="226"/>
      <c r="E141" s="227" t="s">
        <v>423</v>
      </c>
      <c r="F141" s="227"/>
      <c r="G141" s="223" t="s">
        <v>573</v>
      </c>
      <c r="H141" s="223"/>
      <c r="I141" s="223" t="s">
        <v>574</v>
      </c>
      <c r="J141" s="223"/>
      <c r="K141" s="223" t="s">
        <v>575</v>
      </c>
      <c r="L141" s="223"/>
      <c r="M141" s="224"/>
    </row>
    <row r="143" spans="2:15" ht="23.25" x14ac:dyDescent="0.35">
      <c r="B143" s="29" t="s">
        <v>334</v>
      </c>
      <c r="C143" s="229" t="s">
        <v>152</v>
      </c>
      <c r="D143" s="229"/>
      <c r="E143" s="229"/>
      <c r="F143" s="229"/>
      <c r="G143" s="229"/>
      <c r="H143" s="229"/>
      <c r="I143" s="229"/>
      <c r="J143" s="229"/>
      <c r="O143" s="101" t="s">
        <v>481</v>
      </c>
    </row>
    <row r="144" spans="2:15" ht="18.75" x14ac:dyDescent="0.3">
      <c r="B144" s="12" t="s">
        <v>335</v>
      </c>
      <c r="C144" s="195" t="s">
        <v>336</v>
      </c>
      <c r="D144" s="228" t="s">
        <v>427</v>
      </c>
      <c r="E144" s="228"/>
      <c r="F144" s="1" t="s">
        <v>586</v>
      </c>
      <c r="L144" s="12" t="s">
        <v>339</v>
      </c>
      <c r="M144" s="6" t="s">
        <v>151</v>
      </c>
    </row>
    <row r="146" spans="2:17" x14ac:dyDescent="0.25">
      <c r="B146" s="2" t="s">
        <v>341</v>
      </c>
      <c r="C146" s="216" t="s">
        <v>587</v>
      </c>
      <c r="D146" s="216"/>
      <c r="E146" s="216" t="s">
        <v>588</v>
      </c>
      <c r="F146" s="216"/>
      <c r="G146" s="216" t="s">
        <v>589</v>
      </c>
      <c r="H146" s="216"/>
      <c r="I146" s="228" t="s">
        <v>345</v>
      </c>
      <c r="J146" s="228"/>
      <c r="K146" s="228"/>
      <c r="L146" s="228"/>
      <c r="M146" s="228"/>
      <c r="N146" s="10"/>
      <c r="O146" s="106" t="s">
        <v>590</v>
      </c>
      <c r="Q146" s="106" t="s">
        <v>591</v>
      </c>
    </row>
    <row r="147" spans="2:17" x14ac:dyDescent="0.25">
      <c r="C147" s="216" t="s">
        <v>592</v>
      </c>
      <c r="D147" s="216"/>
      <c r="E147" s="216" t="s">
        <v>593</v>
      </c>
      <c r="F147" s="216"/>
      <c r="G147" s="216" t="s">
        <v>594</v>
      </c>
      <c r="H147" s="216"/>
      <c r="K147" s="7"/>
      <c r="L147" s="7"/>
      <c r="M147" s="7"/>
      <c r="N147" s="7"/>
      <c r="O147" s="7"/>
      <c r="Q147" s="7"/>
    </row>
    <row r="148" spans="2:17" x14ac:dyDescent="0.25">
      <c r="B148" s="11" t="s">
        <v>595</v>
      </c>
      <c r="C148" s="231" t="s">
        <v>596</v>
      </c>
      <c r="D148" s="231"/>
      <c r="E148" s="231" t="s">
        <v>597</v>
      </c>
      <c r="F148" s="231"/>
      <c r="G148" s="231" t="s">
        <v>598</v>
      </c>
      <c r="H148" s="231"/>
      <c r="I148" s="14" t="s">
        <v>599</v>
      </c>
      <c r="L148" s="7"/>
      <c r="M148" s="7"/>
      <c r="N148" s="7"/>
      <c r="O148" s="98" t="e">
        <f>O194</f>
        <v>#REF!</v>
      </c>
      <c r="Q148" s="98" t="e">
        <f>Q194</f>
        <v>#REF!</v>
      </c>
    </row>
    <row r="149" spans="2:17" x14ac:dyDescent="0.25">
      <c r="B149" s="11"/>
      <c r="C149" s="11"/>
      <c r="D149" s="11"/>
      <c r="E149" s="11"/>
      <c r="F149" s="185"/>
      <c r="G149" s="11"/>
      <c r="H149" s="185"/>
      <c r="I149" s="14" t="s">
        <v>600</v>
      </c>
      <c r="L149" s="7"/>
      <c r="M149" s="7"/>
      <c r="N149" s="7"/>
      <c r="O149" s="98"/>
      <c r="Q149" s="98"/>
    </row>
    <row r="150" spans="2:17" x14ac:dyDescent="0.25">
      <c r="B150" s="1" t="s">
        <v>601</v>
      </c>
      <c r="C150" s="296" t="s">
        <v>602</v>
      </c>
      <c r="D150" s="296"/>
      <c r="E150" s="296" t="s">
        <v>603</v>
      </c>
      <c r="F150" s="296"/>
      <c r="G150" s="296" t="s">
        <v>604</v>
      </c>
      <c r="H150" s="296"/>
      <c r="I150" s="14" t="s">
        <v>605</v>
      </c>
      <c r="L150" s="7"/>
      <c r="M150" s="7"/>
      <c r="N150" s="7"/>
      <c r="O150" s="98" t="e">
        <f>'Dressing,Sauce,Gravy(400-499)'!O34</f>
        <v>#REF!</v>
      </c>
      <c r="Q150" s="98" t="e">
        <f>'Dressing,Sauce,Gravy(400-499)'!Q34</f>
        <v>#REF!</v>
      </c>
    </row>
    <row r="151" spans="2:17" x14ac:dyDescent="0.25">
      <c r="B151" s="1"/>
      <c r="C151" s="1"/>
      <c r="D151" s="195"/>
      <c r="E151" s="283"/>
      <c r="F151" s="283"/>
      <c r="G151" s="283"/>
      <c r="H151" s="283"/>
      <c r="I151" s="14" t="s">
        <v>606</v>
      </c>
      <c r="L151" s="7"/>
      <c r="M151" s="7"/>
      <c r="N151" s="7"/>
      <c r="O151" s="98"/>
      <c r="Q151" s="98"/>
    </row>
    <row r="152" spans="2:17" x14ac:dyDescent="0.25">
      <c r="B152" s="11" t="s">
        <v>607</v>
      </c>
      <c r="C152" s="230" t="s">
        <v>596</v>
      </c>
      <c r="D152" s="230"/>
      <c r="E152" s="230" t="s">
        <v>597</v>
      </c>
      <c r="F152" s="230"/>
      <c r="G152" s="230" t="s">
        <v>598</v>
      </c>
      <c r="H152" s="230"/>
      <c r="I152" s="14" t="s">
        <v>608</v>
      </c>
      <c r="L152" s="7"/>
      <c r="M152" s="7"/>
      <c r="N152" s="7"/>
      <c r="O152" s="99" t="e">
        <f>SUM(6*#REF!)/48</f>
        <v>#REF!</v>
      </c>
      <c r="Q152" s="99" t="e">
        <f>SUM(6*#REF!)/60</f>
        <v>#REF!</v>
      </c>
    </row>
    <row r="153" spans="2:17" x14ac:dyDescent="0.25">
      <c r="B153" s="11"/>
      <c r="C153" s="185"/>
      <c r="D153" s="185"/>
      <c r="E153" s="185"/>
      <c r="F153" s="185"/>
      <c r="G153" s="185"/>
      <c r="H153" s="185"/>
      <c r="I153" s="14" t="s">
        <v>609</v>
      </c>
      <c r="L153" s="7"/>
      <c r="M153" s="7"/>
      <c r="N153" s="7"/>
      <c r="O153" s="98"/>
      <c r="Q153" s="98"/>
    </row>
    <row r="154" spans="2:17" x14ac:dyDescent="0.25">
      <c r="B154" s="32"/>
      <c r="C154" s="198"/>
      <c r="D154" s="198"/>
      <c r="E154" s="198"/>
      <c r="F154" s="198"/>
      <c r="G154" s="198"/>
      <c r="H154" s="198"/>
      <c r="I154" s="14" t="s">
        <v>610</v>
      </c>
      <c r="L154" s="7"/>
      <c r="M154" s="7"/>
      <c r="N154" s="7"/>
      <c r="O154" s="100" t="e">
        <f>SUM(O148:O152)</f>
        <v>#REF!</v>
      </c>
      <c r="Q154" s="100" t="e">
        <f>SUM(Q148:Q152)</f>
        <v>#REF!</v>
      </c>
    </row>
    <row r="155" spans="2:17" x14ac:dyDescent="0.25">
      <c r="B155" s="32"/>
      <c r="C155" s="198"/>
      <c r="D155" s="198"/>
      <c r="E155" s="198"/>
      <c r="F155" s="198"/>
      <c r="G155" s="198"/>
      <c r="H155" s="198"/>
      <c r="I155" s="14" t="s">
        <v>611</v>
      </c>
      <c r="L155" s="7"/>
      <c r="M155" s="7"/>
      <c r="N155" s="7"/>
    </row>
    <row r="156" spans="2:17" x14ac:dyDescent="0.25">
      <c r="B156" s="32"/>
      <c r="C156" s="198"/>
      <c r="D156" s="198"/>
      <c r="E156" s="198"/>
      <c r="F156" s="198"/>
      <c r="G156" s="198"/>
      <c r="H156" s="198"/>
      <c r="I156" s="14" t="s">
        <v>612</v>
      </c>
      <c r="J156" s="14"/>
      <c r="L156" s="7"/>
      <c r="M156" s="7"/>
      <c r="N156" s="7"/>
    </row>
    <row r="157" spans="2:17" x14ac:dyDescent="0.25">
      <c r="B157" s="24"/>
      <c r="C157" s="24"/>
      <c r="D157" s="24"/>
      <c r="E157" s="24"/>
      <c r="F157" s="24"/>
      <c r="G157" s="24"/>
      <c r="H157" s="24"/>
      <c r="I157" s="92" t="s">
        <v>613</v>
      </c>
      <c r="J157" s="14"/>
      <c r="L157" s="7"/>
      <c r="M157" s="7"/>
      <c r="N157" s="7"/>
    </row>
    <row r="158" spans="2:17" x14ac:dyDescent="0.25">
      <c r="B158" s="217" t="s">
        <v>614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9"/>
      <c r="N158" s="7"/>
    </row>
    <row r="159" spans="2:17" x14ac:dyDescent="0.25">
      <c r="B159" s="3" t="s">
        <v>402</v>
      </c>
      <c r="C159" s="232" t="s">
        <v>403</v>
      </c>
      <c r="D159" s="232"/>
      <c r="E159" s="233" t="s">
        <v>404</v>
      </c>
      <c r="F159" s="233"/>
      <c r="G159" s="232" t="s">
        <v>405</v>
      </c>
      <c r="H159" s="232"/>
      <c r="I159" s="232" t="s">
        <v>406</v>
      </c>
      <c r="J159" s="232"/>
      <c r="K159" s="234" t="s">
        <v>407</v>
      </c>
      <c r="L159" s="235"/>
      <c r="M159" s="236"/>
      <c r="N159" s="7"/>
    </row>
    <row r="160" spans="2:17" x14ac:dyDescent="0.25">
      <c r="B160" s="5">
        <v>2</v>
      </c>
      <c r="C160" s="237">
        <v>2</v>
      </c>
      <c r="D160" s="238"/>
      <c r="E160" s="239">
        <v>0.25</v>
      </c>
      <c r="F160" s="238"/>
      <c r="G160" s="240"/>
      <c r="H160" s="240"/>
      <c r="I160" s="241"/>
      <c r="J160" s="241"/>
      <c r="K160" s="242">
        <v>8.0000000000000002E-3</v>
      </c>
      <c r="L160" s="243"/>
      <c r="M160" s="244"/>
      <c r="N160" s="7"/>
    </row>
    <row r="161" spans="2:15" x14ac:dyDescent="0.25">
      <c r="B161" s="1"/>
      <c r="C161" s="1"/>
      <c r="D161" s="1"/>
      <c r="E161" s="1"/>
      <c r="F161" s="1"/>
      <c r="G161" s="1"/>
      <c r="H161" s="1"/>
      <c r="N161" s="7"/>
    </row>
    <row r="162" spans="2:15" x14ac:dyDescent="0.25">
      <c r="B162" s="217" t="s">
        <v>615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9"/>
      <c r="N162" s="7"/>
    </row>
    <row r="163" spans="2:15" x14ac:dyDescent="0.25">
      <c r="B163" s="122" t="s">
        <v>616</v>
      </c>
      <c r="C163" s="220" t="s">
        <v>617</v>
      </c>
      <c r="D163" s="220"/>
      <c r="E163" s="221" t="s">
        <v>618</v>
      </c>
      <c r="F163" s="221"/>
      <c r="G163" s="221" t="s">
        <v>619</v>
      </c>
      <c r="H163" s="221"/>
      <c r="I163" s="220" t="s">
        <v>620</v>
      </c>
      <c r="J163" s="220"/>
      <c r="K163" s="220" t="s">
        <v>621</v>
      </c>
      <c r="L163" s="220"/>
      <c r="M163" s="222"/>
      <c r="N163" s="7"/>
    </row>
    <row r="164" spans="2:15" x14ac:dyDescent="0.25">
      <c r="B164" s="123" t="s">
        <v>622</v>
      </c>
      <c r="C164" s="225" t="s">
        <v>623</v>
      </c>
      <c r="D164" s="226"/>
      <c r="E164" s="227" t="s">
        <v>624</v>
      </c>
      <c r="F164" s="227"/>
      <c r="G164" s="223" t="s">
        <v>625</v>
      </c>
      <c r="H164" s="223"/>
      <c r="I164" s="227" t="s">
        <v>626</v>
      </c>
      <c r="J164" s="227"/>
      <c r="K164" s="223" t="s">
        <v>627</v>
      </c>
      <c r="L164" s="223"/>
      <c r="M164" s="224"/>
      <c r="N164" s="7"/>
    </row>
    <row r="165" spans="2:15" x14ac:dyDescent="0.25">
      <c r="B165" s="123" t="s">
        <v>628</v>
      </c>
      <c r="C165" s="225" t="s">
        <v>422</v>
      </c>
      <c r="D165" s="226"/>
      <c r="E165" s="227" t="s">
        <v>629</v>
      </c>
      <c r="F165" s="227"/>
      <c r="G165" s="223" t="s">
        <v>630</v>
      </c>
      <c r="H165" s="223"/>
      <c r="I165" s="223" t="s">
        <v>631</v>
      </c>
      <c r="J165" s="223"/>
      <c r="K165" s="223" t="s">
        <v>575</v>
      </c>
      <c r="L165" s="223"/>
      <c r="M165" s="224"/>
      <c r="N165" s="7"/>
    </row>
    <row r="167" spans="2:15" x14ac:dyDescent="0.25">
      <c r="B167" s="217" t="s">
        <v>632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9"/>
    </row>
    <row r="168" spans="2:15" x14ac:dyDescent="0.25">
      <c r="B168" s="3" t="s">
        <v>402</v>
      </c>
      <c r="C168" s="232" t="s">
        <v>403</v>
      </c>
      <c r="D168" s="232"/>
      <c r="E168" s="233" t="s">
        <v>404</v>
      </c>
      <c r="F168" s="233"/>
      <c r="G168" s="232" t="s">
        <v>405</v>
      </c>
      <c r="H168" s="232"/>
      <c r="I168" s="232" t="s">
        <v>406</v>
      </c>
      <c r="J168" s="232"/>
      <c r="K168" s="234" t="s">
        <v>407</v>
      </c>
      <c r="L168" s="235"/>
      <c r="M168" s="236"/>
    </row>
    <row r="169" spans="2:15" x14ac:dyDescent="0.25">
      <c r="B169" s="5">
        <v>1.6</v>
      </c>
      <c r="C169" s="237">
        <v>1.65</v>
      </c>
      <c r="D169" s="238"/>
      <c r="E169" s="239">
        <v>0.2</v>
      </c>
      <c r="F169" s="238"/>
      <c r="G169" s="240"/>
      <c r="H169" s="240"/>
      <c r="I169" s="241"/>
      <c r="J169" s="241"/>
      <c r="K169" s="242">
        <v>7.0000000000000001E-3</v>
      </c>
      <c r="L169" s="243"/>
      <c r="M169" s="244"/>
    </row>
    <row r="170" spans="2:15" x14ac:dyDescent="0.25">
      <c r="B170" s="1"/>
      <c r="C170" s="1"/>
      <c r="D170" s="1"/>
      <c r="E170" s="1"/>
      <c r="F170" s="1"/>
      <c r="G170" s="1"/>
      <c r="H170" s="1"/>
    </row>
    <row r="171" spans="2:15" x14ac:dyDescent="0.25">
      <c r="B171" s="217" t="s">
        <v>633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9"/>
    </row>
    <row r="172" spans="2:15" x14ac:dyDescent="0.25">
      <c r="B172" s="122" t="s">
        <v>634</v>
      </c>
      <c r="C172" s="220" t="s">
        <v>635</v>
      </c>
      <c r="D172" s="220"/>
      <c r="E172" s="221" t="s">
        <v>636</v>
      </c>
      <c r="F172" s="221"/>
      <c r="G172" s="221" t="s">
        <v>637</v>
      </c>
      <c r="H172" s="221"/>
      <c r="I172" s="220" t="s">
        <v>638</v>
      </c>
      <c r="J172" s="220"/>
      <c r="K172" s="220" t="s">
        <v>639</v>
      </c>
      <c r="L172" s="220"/>
      <c r="M172" s="222"/>
    </row>
    <row r="173" spans="2:15" ht="15.75" customHeight="1" x14ac:dyDescent="0.25">
      <c r="B173" s="123" t="s">
        <v>640</v>
      </c>
      <c r="C173" s="225" t="s">
        <v>641</v>
      </c>
      <c r="D173" s="226"/>
      <c r="E173" s="227" t="s">
        <v>642</v>
      </c>
      <c r="F173" s="227"/>
      <c r="G173" s="223" t="s">
        <v>643</v>
      </c>
      <c r="H173" s="223"/>
      <c r="I173" s="227" t="s">
        <v>644</v>
      </c>
      <c r="J173" s="227"/>
      <c r="K173" s="223" t="s">
        <v>645</v>
      </c>
      <c r="L173" s="223"/>
      <c r="M173" s="224"/>
    </row>
    <row r="174" spans="2:15" x14ac:dyDescent="0.25">
      <c r="B174" s="123" t="s">
        <v>646</v>
      </c>
      <c r="C174" s="225" t="s">
        <v>422</v>
      </c>
      <c r="D174" s="226"/>
      <c r="E174" s="227" t="s">
        <v>647</v>
      </c>
      <c r="F174" s="227"/>
      <c r="G174" s="223" t="s">
        <v>648</v>
      </c>
      <c r="H174" s="223"/>
      <c r="I174" s="223" t="s">
        <v>649</v>
      </c>
      <c r="J174" s="223"/>
      <c r="K174" s="223" t="s">
        <v>575</v>
      </c>
      <c r="L174" s="223"/>
      <c r="M174" s="224"/>
    </row>
    <row r="175" spans="2:15" ht="23.25" x14ac:dyDescent="0.35">
      <c r="B175" s="29" t="s">
        <v>334</v>
      </c>
      <c r="C175" s="229" t="s">
        <v>156</v>
      </c>
      <c r="D175" s="229"/>
      <c r="E175" s="229"/>
      <c r="F175" s="229"/>
      <c r="G175" s="229"/>
      <c r="H175" s="229"/>
      <c r="I175" s="229"/>
      <c r="J175" s="229"/>
      <c r="O175" s="101" t="s">
        <v>481</v>
      </c>
    </row>
    <row r="176" spans="2:15" ht="18.75" x14ac:dyDescent="0.3">
      <c r="B176" s="12" t="s">
        <v>335</v>
      </c>
      <c r="C176" s="195" t="s">
        <v>336</v>
      </c>
      <c r="D176" s="228" t="s">
        <v>427</v>
      </c>
      <c r="E176" s="228"/>
      <c r="F176" s="1" t="s">
        <v>586</v>
      </c>
      <c r="L176" s="12" t="s">
        <v>339</v>
      </c>
      <c r="M176" s="6" t="s">
        <v>155</v>
      </c>
    </row>
    <row r="178" spans="2:17" x14ac:dyDescent="0.25">
      <c r="B178" s="2" t="s">
        <v>341</v>
      </c>
      <c r="C178" s="216" t="s">
        <v>587</v>
      </c>
      <c r="D178" s="216"/>
      <c r="E178" s="216" t="s">
        <v>588</v>
      </c>
      <c r="F178" s="216"/>
      <c r="G178" s="228" t="s">
        <v>345</v>
      </c>
      <c r="H178" s="228"/>
      <c r="I178" s="228"/>
      <c r="J178" s="228"/>
      <c r="K178" s="228"/>
      <c r="L178" s="228"/>
      <c r="M178" s="228"/>
      <c r="O178" s="101" t="s">
        <v>650</v>
      </c>
      <c r="Q178" s="101" t="s">
        <v>651</v>
      </c>
    </row>
    <row r="179" spans="2:17" x14ac:dyDescent="0.25">
      <c r="C179" s="216" t="s">
        <v>592</v>
      </c>
      <c r="D179" s="216"/>
      <c r="E179" s="216" t="s">
        <v>593</v>
      </c>
      <c r="F179" s="216"/>
      <c r="I179" s="7"/>
      <c r="J179" s="7"/>
      <c r="K179" s="7"/>
    </row>
    <row r="180" spans="2:17" x14ac:dyDescent="0.25">
      <c r="B180" s="11" t="s">
        <v>652</v>
      </c>
      <c r="C180" s="231" t="s">
        <v>653</v>
      </c>
      <c r="D180" s="231"/>
      <c r="E180" s="231" t="s">
        <v>654</v>
      </c>
      <c r="F180" s="231"/>
      <c r="G180" s="14" t="s">
        <v>655</v>
      </c>
      <c r="J180" s="7"/>
      <c r="K180" s="7"/>
      <c r="O180" s="98" t="e">
        <f>SUM(3.5*#REF!)/48</f>
        <v>#REF!</v>
      </c>
      <c r="Q180" s="98" t="e">
        <f>SUM(3.5*#REF!)/60</f>
        <v>#REF!</v>
      </c>
    </row>
    <row r="181" spans="2:17" x14ac:dyDescent="0.25">
      <c r="B181" s="11"/>
      <c r="C181" s="11"/>
      <c r="D181" s="11"/>
      <c r="E181" s="11"/>
      <c r="F181" s="185"/>
      <c r="G181" s="14" t="s">
        <v>656</v>
      </c>
      <c r="J181" s="7"/>
      <c r="K181" s="7"/>
      <c r="O181" s="98"/>
      <c r="Q181" s="98"/>
    </row>
    <row r="182" spans="2:17" x14ac:dyDescent="0.25">
      <c r="B182" s="1" t="s">
        <v>518</v>
      </c>
      <c r="C182" s="296" t="s">
        <v>657</v>
      </c>
      <c r="D182" s="296"/>
      <c r="E182" s="296" t="s">
        <v>486</v>
      </c>
      <c r="F182" s="296"/>
      <c r="G182" s="14" t="s">
        <v>658</v>
      </c>
      <c r="J182" s="7"/>
      <c r="K182" s="7"/>
      <c r="O182" s="103" t="e">
        <f>SUM(1.5*#REF!)/48</f>
        <v>#REF!</v>
      </c>
      <c r="Q182" s="103" t="e">
        <f>SUM(1.5*#REF!)/60</f>
        <v>#REF!</v>
      </c>
    </row>
    <row r="183" spans="2:17" x14ac:dyDescent="0.25">
      <c r="B183" s="1"/>
      <c r="C183" s="1"/>
      <c r="D183" s="195"/>
      <c r="E183" s="283"/>
      <c r="F183" s="283"/>
      <c r="G183" s="14" t="s">
        <v>659</v>
      </c>
      <c r="J183" s="7"/>
      <c r="K183" s="7"/>
      <c r="O183" s="98"/>
      <c r="Q183" s="98"/>
    </row>
    <row r="184" spans="2:17" x14ac:dyDescent="0.25">
      <c r="B184" s="11" t="s">
        <v>660</v>
      </c>
      <c r="C184" s="230" t="s">
        <v>661</v>
      </c>
      <c r="D184" s="230"/>
      <c r="E184" s="230" t="s">
        <v>662</v>
      </c>
      <c r="F184" s="230"/>
      <c r="G184" s="14" t="s">
        <v>663</v>
      </c>
      <c r="J184" s="7"/>
      <c r="K184" s="7"/>
      <c r="O184" s="102" t="e">
        <f>SUM(7*#REF!)/48</f>
        <v>#REF!</v>
      </c>
      <c r="Q184" s="102" t="e">
        <f>SUM(7*#REF!)/60</f>
        <v>#REF!</v>
      </c>
    </row>
    <row r="185" spans="2:17" x14ac:dyDescent="0.25">
      <c r="B185" s="11"/>
      <c r="C185" s="185"/>
      <c r="D185" s="185"/>
      <c r="E185" s="185"/>
      <c r="F185" s="185"/>
      <c r="G185" s="14" t="s">
        <v>664</v>
      </c>
      <c r="J185" s="7"/>
      <c r="K185" s="7"/>
      <c r="O185" s="98"/>
      <c r="Q185" s="98"/>
    </row>
    <row r="186" spans="2:17" x14ac:dyDescent="0.25">
      <c r="B186" s="32" t="s">
        <v>665</v>
      </c>
      <c r="C186" s="288" t="s">
        <v>666</v>
      </c>
      <c r="D186" s="288"/>
      <c r="E186" s="288" t="s">
        <v>667</v>
      </c>
      <c r="F186" s="288"/>
      <c r="G186" s="14" t="s">
        <v>668</v>
      </c>
      <c r="J186" s="7"/>
      <c r="K186" s="7"/>
      <c r="O186" s="102" t="e">
        <f>SUM(7.5*#REF!)/48</f>
        <v>#REF!</v>
      </c>
      <c r="Q186" s="102" t="e">
        <f>SUM(7.5*#REF!)/60</f>
        <v>#REF!</v>
      </c>
    </row>
    <row r="187" spans="2:17" x14ac:dyDescent="0.25">
      <c r="B187" s="32"/>
      <c r="C187" s="198"/>
      <c r="D187" s="198"/>
      <c r="E187" s="198"/>
      <c r="F187" s="198"/>
      <c r="G187" s="14" t="s">
        <v>669</v>
      </c>
      <c r="J187" s="7"/>
      <c r="K187" s="7"/>
      <c r="O187" s="98"/>
      <c r="Q187" s="98"/>
    </row>
    <row r="188" spans="2:17" x14ac:dyDescent="0.25">
      <c r="B188" s="11" t="s">
        <v>670</v>
      </c>
      <c r="C188" s="230" t="s">
        <v>671</v>
      </c>
      <c r="D188" s="230"/>
      <c r="E188" s="230" t="s">
        <v>672</v>
      </c>
      <c r="F188" s="230"/>
      <c r="G188" s="14" t="s">
        <v>673</v>
      </c>
      <c r="I188" t="s">
        <v>674</v>
      </c>
      <c r="J188" s="7"/>
      <c r="K188" s="80" t="s">
        <v>675</v>
      </c>
      <c r="O188" s="98">
        <v>0</v>
      </c>
      <c r="Q188" s="98">
        <v>0</v>
      </c>
    </row>
    <row r="189" spans="2:17" x14ac:dyDescent="0.25">
      <c r="B189" s="11"/>
      <c r="C189" s="185"/>
      <c r="D189" s="185"/>
      <c r="E189" s="185"/>
      <c r="F189" s="185"/>
      <c r="G189" s="14"/>
      <c r="H189" s="14"/>
      <c r="J189" s="7"/>
      <c r="K189" s="80" t="s">
        <v>676</v>
      </c>
      <c r="O189" s="98"/>
      <c r="Q189" s="98"/>
    </row>
    <row r="190" spans="2:17" x14ac:dyDescent="0.25">
      <c r="B190" s="32" t="s">
        <v>677</v>
      </c>
      <c r="C190" s="288" t="s">
        <v>678</v>
      </c>
      <c r="D190" s="288"/>
      <c r="E190" s="288" t="s">
        <v>524</v>
      </c>
      <c r="F190" s="288"/>
      <c r="G190" s="14" t="s">
        <v>673</v>
      </c>
      <c r="I190" t="s">
        <v>679</v>
      </c>
      <c r="J190" s="7"/>
      <c r="K190" s="80" t="s">
        <v>680</v>
      </c>
      <c r="O190" s="102" t="e">
        <f>SUM(0.3*#REF!)/48</f>
        <v>#REF!</v>
      </c>
      <c r="Q190" s="102" t="e">
        <f>SUM(0.3*#REF!)/60</f>
        <v>#REF!</v>
      </c>
    </row>
    <row r="191" spans="2:17" x14ac:dyDescent="0.25">
      <c r="B191" s="32"/>
      <c r="C191" s="198"/>
      <c r="D191" s="198"/>
      <c r="E191" s="198"/>
      <c r="F191" s="198"/>
      <c r="G191" s="14"/>
      <c r="H191" s="14"/>
      <c r="J191" s="7"/>
      <c r="K191" s="80" t="s">
        <v>681</v>
      </c>
      <c r="O191" s="98"/>
      <c r="Q191" s="98"/>
    </row>
    <row r="192" spans="2:17" x14ac:dyDescent="0.25">
      <c r="B192" s="11" t="s">
        <v>682</v>
      </c>
      <c r="C192" s="230" t="s">
        <v>683</v>
      </c>
      <c r="D192" s="230"/>
      <c r="E192" s="230" t="s">
        <v>683</v>
      </c>
      <c r="F192" s="230"/>
      <c r="G192" s="14"/>
      <c r="H192" s="14"/>
      <c r="J192" s="7"/>
      <c r="K192" s="80" t="s">
        <v>684</v>
      </c>
      <c r="O192" s="105" t="e">
        <f>SUM(6*#REF!)/48</f>
        <v>#REF!</v>
      </c>
      <c r="Q192" s="105" t="e">
        <f>SUM(6*#REF!)/60</f>
        <v>#REF!</v>
      </c>
    </row>
    <row r="193" spans="2:17" x14ac:dyDescent="0.25">
      <c r="B193" s="11"/>
      <c r="C193" s="185"/>
      <c r="D193" s="185"/>
      <c r="E193" s="185"/>
      <c r="F193" s="185"/>
      <c r="G193" s="14"/>
      <c r="H193" s="14"/>
      <c r="J193" s="7"/>
      <c r="K193" s="80" t="s">
        <v>685</v>
      </c>
      <c r="O193" s="98"/>
      <c r="Q193" s="98"/>
    </row>
    <row r="194" spans="2:17" x14ac:dyDescent="0.25">
      <c r="B194" s="32"/>
      <c r="C194" s="198"/>
      <c r="D194" s="198"/>
      <c r="E194" s="198"/>
      <c r="F194" s="198"/>
      <c r="G194" s="14"/>
      <c r="H194" s="14"/>
      <c r="J194" s="7"/>
      <c r="K194" s="80" t="s">
        <v>686</v>
      </c>
      <c r="O194" s="100" t="e">
        <f>SUM(O180:O192)</f>
        <v>#REF!</v>
      </c>
      <c r="Q194" s="100" t="e">
        <f>SUM(Q180:Q192)</f>
        <v>#REF!</v>
      </c>
    </row>
    <row r="195" spans="2:17" x14ac:dyDescent="0.25">
      <c r="B195" s="32"/>
      <c r="C195" s="198"/>
      <c r="D195" s="198"/>
      <c r="E195" s="198"/>
      <c r="F195" s="198"/>
      <c r="G195" s="14"/>
      <c r="H195" s="14"/>
      <c r="J195" s="7"/>
      <c r="K195" s="80" t="s">
        <v>687</v>
      </c>
    </row>
    <row r="196" spans="2:17" ht="15.75" thickBot="1" x14ac:dyDescent="0.3">
      <c r="B196" s="32"/>
      <c r="C196" s="198"/>
      <c r="D196" s="198"/>
      <c r="E196" s="198"/>
      <c r="F196" s="198"/>
      <c r="G196" s="14" t="s">
        <v>688</v>
      </c>
      <c r="H196" s="14"/>
      <c r="J196" s="7"/>
      <c r="K196" s="7"/>
    </row>
    <row r="197" spans="2:17" x14ac:dyDescent="0.25">
      <c r="B197" s="217" t="s">
        <v>401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9"/>
    </row>
    <row r="198" spans="2:17" x14ac:dyDescent="0.25">
      <c r="B198" s="3" t="s">
        <v>402</v>
      </c>
      <c r="C198" s="232" t="s">
        <v>403</v>
      </c>
      <c r="D198" s="232"/>
      <c r="E198" s="232" t="s">
        <v>467</v>
      </c>
      <c r="F198" s="232"/>
      <c r="G198" s="232" t="s">
        <v>405</v>
      </c>
      <c r="H198" s="232"/>
      <c r="I198" s="232" t="s">
        <v>406</v>
      </c>
      <c r="J198" s="232"/>
      <c r="K198" s="234" t="s">
        <v>468</v>
      </c>
      <c r="L198" s="235"/>
      <c r="M198" s="236"/>
    </row>
    <row r="199" spans="2:17" ht="15.75" thickBot="1" x14ac:dyDescent="0.3">
      <c r="B199" s="5"/>
      <c r="C199" s="237">
        <v>2</v>
      </c>
      <c r="D199" s="238"/>
      <c r="E199" s="239"/>
      <c r="F199" s="238"/>
      <c r="G199" s="240"/>
      <c r="H199" s="240"/>
      <c r="I199" s="241"/>
      <c r="J199" s="241"/>
      <c r="K199" s="242"/>
      <c r="L199" s="243"/>
      <c r="M199" s="244"/>
    </row>
    <row r="200" spans="2:17" x14ac:dyDescent="0.25">
      <c r="B200" s="1"/>
      <c r="C200" s="1"/>
      <c r="D200" s="1"/>
      <c r="E200" s="1"/>
      <c r="F200" s="1"/>
      <c r="G200" s="1"/>
      <c r="H200" s="1"/>
    </row>
    <row r="201" spans="2:17" x14ac:dyDescent="0.25">
      <c r="B201" s="217" t="s">
        <v>408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9"/>
    </row>
    <row r="202" spans="2:17" x14ac:dyDescent="0.25">
      <c r="B202" s="122" t="s">
        <v>689</v>
      </c>
      <c r="C202" s="220" t="s">
        <v>690</v>
      </c>
      <c r="D202" s="220"/>
      <c r="E202" s="221" t="s">
        <v>691</v>
      </c>
      <c r="F202" s="221"/>
      <c r="G202" s="221" t="s">
        <v>692</v>
      </c>
      <c r="H202" s="221"/>
      <c r="I202" s="220" t="s">
        <v>693</v>
      </c>
      <c r="J202" s="220"/>
      <c r="K202" s="220" t="s">
        <v>639</v>
      </c>
      <c r="L202" s="220"/>
      <c r="M202" s="222"/>
    </row>
    <row r="203" spans="2:17" x14ac:dyDescent="0.25">
      <c r="B203" s="123" t="s">
        <v>694</v>
      </c>
      <c r="C203" s="225" t="s">
        <v>695</v>
      </c>
      <c r="D203" s="226"/>
      <c r="E203" s="227" t="s">
        <v>567</v>
      </c>
      <c r="F203" s="227"/>
      <c r="G203" s="223" t="s">
        <v>696</v>
      </c>
      <c r="H203" s="223"/>
      <c r="I203" s="227" t="s">
        <v>569</v>
      </c>
      <c r="J203" s="227"/>
      <c r="K203" s="223" t="s">
        <v>697</v>
      </c>
      <c r="L203" s="223"/>
      <c r="M203" s="224"/>
    </row>
    <row r="204" spans="2:17" ht="15.75" customHeight="1" x14ac:dyDescent="0.25">
      <c r="B204" s="123" t="s">
        <v>698</v>
      </c>
      <c r="C204" s="225" t="s">
        <v>422</v>
      </c>
      <c r="D204" s="226"/>
      <c r="E204" s="227" t="s">
        <v>699</v>
      </c>
      <c r="F204" s="227"/>
      <c r="G204" s="223" t="s">
        <v>700</v>
      </c>
      <c r="H204" s="223"/>
      <c r="I204" s="223" t="s">
        <v>701</v>
      </c>
      <c r="J204" s="223"/>
      <c r="K204" s="223" t="s">
        <v>575</v>
      </c>
      <c r="L204" s="223"/>
      <c r="M204" s="224"/>
    </row>
    <row r="206" spans="2:17" ht="23.25" x14ac:dyDescent="0.35">
      <c r="B206" s="29" t="s">
        <v>334</v>
      </c>
      <c r="C206" s="229" t="s">
        <v>160</v>
      </c>
      <c r="D206" s="229"/>
      <c r="E206" s="229"/>
      <c r="F206" s="229"/>
      <c r="G206" s="229"/>
      <c r="H206" s="229"/>
      <c r="I206" s="229"/>
      <c r="J206" s="229"/>
      <c r="O206" s="101" t="s">
        <v>481</v>
      </c>
    </row>
    <row r="207" spans="2:17" ht="18.75" x14ac:dyDescent="0.3">
      <c r="B207" s="12" t="s">
        <v>335</v>
      </c>
      <c r="C207" s="195" t="s">
        <v>336</v>
      </c>
      <c r="D207" s="228" t="s">
        <v>427</v>
      </c>
      <c r="E207" s="228"/>
      <c r="F207" s="1" t="s">
        <v>586</v>
      </c>
      <c r="L207" s="12" t="s">
        <v>339</v>
      </c>
      <c r="M207" s="6" t="s">
        <v>159</v>
      </c>
    </row>
    <row r="209" spans="2:17" x14ac:dyDescent="0.25">
      <c r="B209" s="2" t="s">
        <v>341</v>
      </c>
      <c r="C209" s="216" t="s">
        <v>587</v>
      </c>
      <c r="D209" s="216"/>
      <c r="E209" s="216" t="s">
        <v>588</v>
      </c>
      <c r="F209" s="216"/>
      <c r="G209" s="216" t="s">
        <v>589</v>
      </c>
      <c r="H209" s="216"/>
      <c r="I209" s="228" t="s">
        <v>345</v>
      </c>
      <c r="J209" s="228"/>
      <c r="K209" s="228"/>
      <c r="L209" s="228"/>
      <c r="M209" s="228"/>
      <c r="O209" s="106" t="s">
        <v>590</v>
      </c>
      <c r="Q209" s="106" t="s">
        <v>591</v>
      </c>
    </row>
    <row r="210" spans="2:17" x14ac:dyDescent="0.25">
      <c r="C210" s="216" t="s">
        <v>592</v>
      </c>
      <c r="D210" s="216"/>
      <c r="E210" s="216" t="s">
        <v>593</v>
      </c>
      <c r="F210" s="216"/>
      <c r="G210" s="216" t="s">
        <v>594</v>
      </c>
      <c r="H210" s="216"/>
      <c r="K210" s="7"/>
      <c r="L210" s="7"/>
      <c r="M210" s="7"/>
      <c r="O210" s="7"/>
      <c r="Q210" s="7"/>
    </row>
    <row r="211" spans="2:17" x14ac:dyDescent="0.25">
      <c r="B211" s="11" t="s">
        <v>595</v>
      </c>
      <c r="C211" s="231" t="s">
        <v>596</v>
      </c>
      <c r="D211" s="231"/>
      <c r="E211" s="231" t="s">
        <v>597</v>
      </c>
      <c r="F211" s="231"/>
      <c r="G211" s="231" t="s">
        <v>598</v>
      </c>
      <c r="H211" s="231"/>
      <c r="I211" s="14" t="s">
        <v>599</v>
      </c>
      <c r="L211" s="7"/>
      <c r="M211" s="7"/>
      <c r="O211" s="98" t="e">
        <f>O194</f>
        <v>#REF!</v>
      </c>
      <c r="Q211" s="98" t="e">
        <f>Q194</f>
        <v>#REF!</v>
      </c>
    </row>
    <row r="212" spans="2:17" x14ac:dyDescent="0.25">
      <c r="B212" s="11"/>
      <c r="C212" s="11"/>
      <c r="D212" s="11"/>
      <c r="E212" s="11"/>
      <c r="F212" s="185"/>
      <c r="G212" s="11"/>
      <c r="H212" s="185"/>
      <c r="I212" s="14" t="s">
        <v>600</v>
      </c>
      <c r="L212" s="7"/>
      <c r="M212" s="7"/>
      <c r="O212" s="98"/>
      <c r="Q212" s="98"/>
    </row>
    <row r="213" spans="2:17" x14ac:dyDescent="0.25">
      <c r="B213" s="1" t="s">
        <v>601</v>
      </c>
      <c r="C213" s="296" t="s">
        <v>602</v>
      </c>
      <c r="D213" s="296"/>
      <c r="E213" s="296" t="s">
        <v>603</v>
      </c>
      <c r="F213" s="296"/>
      <c r="G213" s="296" t="s">
        <v>604</v>
      </c>
      <c r="H213" s="296"/>
      <c r="I213" s="14" t="s">
        <v>605</v>
      </c>
      <c r="L213" s="7"/>
      <c r="M213" s="7"/>
      <c r="O213" s="98" t="e">
        <f>'Dressing,Sauce,Gravy(400-499)'!O34</f>
        <v>#REF!</v>
      </c>
      <c r="Q213" s="98" t="e">
        <f>'Dressing,Sauce,Gravy(400-499)'!Q34</f>
        <v>#REF!</v>
      </c>
    </row>
    <row r="214" spans="2:17" x14ac:dyDescent="0.25">
      <c r="B214" s="1"/>
      <c r="C214" s="1"/>
      <c r="D214" s="195"/>
      <c r="E214" s="283"/>
      <c r="F214" s="283"/>
      <c r="G214" s="283"/>
      <c r="H214" s="283"/>
      <c r="I214" s="14" t="s">
        <v>606</v>
      </c>
      <c r="L214" s="7"/>
      <c r="M214" s="7"/>
      <c r="O214" s="98"/>
      <c r="Q214" s="98"/>
    </row>
    <row r="215" spans="2:17" x14ac:dyDescent="0.25">
      <c r="B215" s="11" t="s">
        <v>607</v>
      </c>
      <c r="C215" s="230" t="s">
        <v>596</v>
      </c>
      <c r="D215" s="230"/>
      <c r="E215" s="230" t="s">
        <v>597</v>
      </c>
      <c r="F215" s="230"/>
      <c r="G215" s="230" t="s">
        <v>598</v>
      </c>
      <c r="H215" s="230"/>
      <c r="I215" s="14" t="s">
        <v>608</v>
      </c>
      <c r="L215" s="7"/>
      <c r="M215" s="7"/>
      <c r="O215" s="107" t="e">
        <f>SUM(6*#REF!)/48</f>
        <v>#REF!</v>
      </c>
      <c r="Q215" s="107" t="e">
        <f>SUM(6*#REF!)/60</f>
        <v>#REF!</v>
      </c>
    </row>
    <row r="216" spans="2:17" x14ac:dyDescent="0.25">
      <c r="B216" s="11"/>
      <c r="C216" s="185"/>
      <c r="D216" s="185"/>
      <c r="E216" s="185"/>
      <c r="F216" s="185"/>
      <c r="G216" s="185"/>
      <c r="H216" s="185"/>
      <c r="I216" s="14" t="s">
        <v>702</v>
      </c>
      <c r="L216" s="7"/>
      <c r="M216" s="7"/>
    </row>
    <row r="217" spans="2:17" x14ac:dyDescent="0.25">
      <c r="B217" s="32" t="s">
        <v>703</v>
      </c>
      <c r="C217" s="288" t="s">
        <v>704</v>
      </c>
      <c r="D217" s="288"/>
      <c r="E217" s="288" t="s">
        <v>705</v>
      </c>
      <c r="F217" s="288"/>
      <c r="G217" s="288" t="s">
        <v>706</v>
      </c>
      <c r="H217" s="288"/>
      <c r="I217" s="14" t="s">
        <v>707</v>
      </c>
      <c r="L217" s="7"/>
      <c r="M217" s="7"/>
      <c r="O217" s="99" t="e">
        <f>SUM(72*#REF!)/48</f>
        <v>#REF!</v>
      </c>
      <c r="Q217" s="99" t="e">
        <f>SUM(72*#REF!)/60</f>
        <v>#REF!</v>
      </c>
    </row>
    <row r="218" spans="2:17" x14ac:dyDescent="0.25">
      <c r="B218" s="32"/>
      <c r="C218" s="198"/>
      <c r="D218" s="198"/>
      <c r="E218" s="198"/>
      <c r="F218" s="198"/>
      <c r="G218" s="198"/>
      <c r="H218" s="198"/>
      <c r="I218" s="14" t="s">
        <v>708</v>
      </c>
      <c r="L218" s="7"/>
      <c r="M218" s="7"/>
    </row>
    <row r="219" spans="2:17" x14ac:dyDescent="0.25">
      <c r="B219" s="32"/>
      <c r="C219" s="198"/>
      <c r="D219" s="198"/>
      <c r="E219" s="198"/>
      <c r="F219" s="198"/>
      <c r="G219" s="198"/>
      <c r="H219" s="198"/>
      <c r="I219" s="14" t="s">
        <v>612</v>
      </c>
      <c r="J219" s="14"/>
      <c r="L219" s="7"/>
      <c r="M219" s="7"/>
      <c r="O219" s="100" t="e">
        <f>SUM(O211:O217)</f>
        <v>#REF!</v>
      </c>
      <c r="Q219" s="100" t="e">
        <f>SUM(Q211:Q217)</f>
        <v>#REF!</v>
      </c>
    </row>
    <row r="220" spans="2:17" x14ac:dyDescent="0.25">
      <c r="B220" s="24"/>
      <c r="C220" s="24"/>
      <c r="D220" s="24"/>
      <c r="E220" s="24"/>
      <c r="F220" s="24"/>
      <c r="G220" s="24"/>
      <c r="H220" s="24"/>
      <c r="I220" s="92" t="s">
        <v>613</v>
      </c>
      <c r="J220" s="14"/>
      <c r="L220" s="7"/>
      <c r="M220" s="7"/>
    </row>
    <row r="221" spans="2:17" x14ac:dyDescent="0.25">
      <c r="B221" s="217" t="s">
        <v>614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9"/>
    </row>
    <row r="222" spans="2:17" x14ac:dyDescent="0.25">
      <c r="B222" s="3" t="s">
        <v>402</v>
      </c>
      <c r="C222" s="232" t="s">
        <v>403</v>
      </c>
      <c r="D222" s="232"/>
      <c r="E222" s="233" t="s">
        <v>404</v>
      </c>
      <c r="F222" s="233"/>
      <c r="G222" s="232" t="s">
        <v>405</v>
      </c>
      <c r="H222" s="232"/>
      <c r="I222" s="232" t="s">
        <v>406</v>
      </c>
      <c r="J222" s="232"/>
      <c r="K222" s="234" t="s">
        <v>407</v>
      </c>
      <c r="L222" s="235"/>
      <c r="M222" s="236"/>
    </row>
    <row r="223" spans="2:17" x14ac:dyDescent="0.25">
      <c r="B223" s="5">
        <v>3</v>
      </c>
      <c r="C223" s="237">
        <v>2</v>
      </c>
      <c r="D223" s="238"/>
      <c r="E223" s="239">
        <v>0.25</v>
      </c>
      <c r="F223" s="238"/>
      <c r="G223" s="240"/>
      <c r="H223" s="240"/>
      <c r="I223" s="241"/>
      <c r="J223" s="241"/>
      <c r="K223" s="242">
        <v>7.0000000000000001E-3</v>
      </c>
      <c r="L223" s="243"/>
      <c r="M223" s="244"/>
    </row>
    <row r="224" spans="2:17" x14ac:dyDescent="0.25">
      <c r="B224" s="1"/>
      <c r="C224" s="1"/>
      <c r="D224" s="1"/>
      <c r="E224" s="1"/>
      <c r="F224" s="1"/>
      <c r="G224" s="1"/>
      <c r="H224" s="1"/>
    </row>
    <row r="225" spans="2:15" x14ac:dyDescent="0.25">
      <c r="B225" s="217" t="s">
        <v>615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9"/>
    </row>
    <row r="226" spans="2:15" x14ac:dyDescent="0.25">
      <c r="B226" s="122" t="s">
        <v>709</v>
      </c>
      <c r="C226" s="220" t="s">
        <v>710</v>
      </c>
      <c r="D226" s="220"/>
      <c r="E226" s="221" t="s">
        <v>711</v>
      </c>
      <c r="F226" s="221"/>
      <c r="G226" s="221" t="s">
        <v>712</v>
      </c>
      <c r="H226" s="221"/>
      <c r="I226" s="220" t="s">
        <v>713</v>
      </c>
      <c r="J226" s="220"/>
      <c r="K226" s="220" t="s">
        <v>621</v>
      </c>
      <c r="L226" s="220"/>
      <c r="M226" s="222"/>
    </row>
    <row r="227" spans="2:15" x14ac:dyDescent="0.25">
      <c r="B227" s="123" t="s">
        <v>622</v>
      </c>
      <c r="C227" s="225" t="s">
        <v>714</v>
      </c>
      <c r="D227" s="226"/>
      <c r="E227" s="227" t="s">
        <v>715</v>
      </c>
      <c r="F227" s="227"/>
      <c r="G227" s="223" t="s">
        <v>418</v>
      </c>
      <c r="H227" s="223"/>
      <c r="I227" s="227" t="s">
        <v>626</v>
      </c>
      <c r="J227" s="227"/>
      <c r="K227" s="223" t="s">
        <v>716</v>
      </c>
      <c r="L227" s="223"/>
      <c r="M227" s="224"/>
    </row>
    <row r="228" spans="2:15" x14ac:dyDescent="0.25">
      <c r="B228" s="123" t="s">
        <v>717</v>
      </c>
      <c r="C228" s="225" t="s">
        <v>422</v>
      </c>
      <c r="D228" s="226"/>
      <c r="E228" s="227" t="s">
        <v>718</v>
      </c>
      <c r="F228" s="227"/>
      <c r="G228" s="223" t="s">
        <v>630</v>
      </c>
      <c r="H228" s="223"/>
      <c r="I228" s="223" t="s">
        <v>719</v>
      </c>
      <c r="J228" s="223"/>
      <c r="K228" s="223" t="s">
        <v>575</v>
      </c>
      <c r="L228" s="223"/>
      <c r="M228" s="224"/>
    </row>
    <row r="230" spans="2:15" x14ac:dyDescent="0.25">
      <c r="B230" s="217" t="s">
        <v>632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9"/>
    </row>
    <row r="231" spans="2:15" x14ac:dyDescent="0.25">
      <c r="B231" s="3" t="s">
        <v>402</v>
      </c>
      <c r="C231" s="232" t="s">
        <v>403</v>
      </c>
      <c r="D231" s="232"/>
      <c r="E231" s="233" t="s">
        <v>404</v>
      </c>
      <c r="F231" s="233"/>
      <c r="G231" s="232" t="s">
        <v>405</v>
      </c>
      <c r="H231" s="232"/>
      <c r="I231" s="232" t="s">
        <v>406</v>
      </c>
      <c r="J231" s="232"/>
      <c r="K231" s="234" t="s">
        <v>407</v>
      </c>
      <c r="L231" s="235"/>
      <c r="M231" s="236"/>
    </row>
    <row r="232" spans="2:15" x14ac:dyDescent="0.25">
      <c r="B232" s="5">
        <v>2.44</v>
      </c>
      <c r="C232" s="237">
        <v>1.65</v>
      </c>
      <c r="D232" s="238"/>
      <c r="E232" s="239">
        <v>0.2</v>
      </c>
      <c r="F232" s="238"/>
      <c r="G232" s="240"/>
      <c r="H232" s="240"/>
      <c r="I232" s="241"/>
      <c r="J232" s="241"/>
      <c r="K232" s="242">
        <v>6.6E-3</v>
      </c>
      <c r="L232" s="243"/>
      <c r="M232" s="244"/>
    </row>
    <row r="233" spans="2:15" x14ac:dyDescent="0.25">
      <c r="B233" s="1"/>
      <c r="C233" s="1"/>
      <c r="D233" s="1"/>
      <c r="E233" s="1"/>
      <c r="F233" s="1"/>
      <c r="G233" s="1"/>
      <c r="H233" s="1"/>
    </row>
    <row r="234" spans="2:15" x14ac:dyDescent="0.25">
      <c r="B234" s="217" t="s">
        <v>633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9"/>
    </row>
    <row r="235" spans="2:15" x14ac:dyDescent="0.25">
      <c r="B235" s="122" t="s">
        <v>720</v>
      </c>
      <c r="C235" s="220" t="s">
        <v>721</v>
      </c>
      <c r="D235" s="220"/>
      <c r="E235" s="221" t="s">
        <v>636</v>
      </c>
      <c r="F235" s="221"/>
      <c r="G235" s="221" t="s">
        <v>722</v>
      </c>
      <c r="H235" s="221"/>
      <c r="I235" s="220" t="s">
        <v>723</v>
      </c>
      <c r="J235" s="220"/>
      <c r="K235" s="220" t="s">
        <v>724</v>
      </c>
      <c r="L235" s="220"/>
      <c r="M235" s="222"/>
    </row>
    <row r="236" spans="2:15" ht="15.75" customHeight="1" x14ac:dyDescent="0.25">
      <c r="B236" s="123" t="s">
        <v>640</v>
      </c>
      <c r="C236" s="225" t="s">
        <v>695</v>
      </c>
      <c r="D236" s="226"/>
      <c r="E236" s="227" t="s">
        <v>725</v>
      </c>
      <c r="F236" s="227"/>
      <c r="G236" s="223" t="s">
        <v>726</v>
      </c>
      <c r="H236" s="223"/>
      <c r="I236" s="227" t="s">
        <v>644</v>
      </c>
      <c r="J236" s="227"/>
      <c r="K236" s="223" t="s">
        <v>727</v>
      </c>
      <c r="L236" s="223"/>
      <c r="M236" s="224"/>
    </row>
    <row r="237" spans="2:15" x14ac:dyDescent="0.25">
      <c r="B237" s="123" t="s">
        <v>646</v>
      </c>
      <c r="C237" s="225" t="s">
        <v>422</v>
      </c>
      <c r="D237" s="226"/>
      <c r="E237" s="227" t="s">
        <v>728</v>
      </c>
      <c r="F237" s="227"/>
      <c r="G237" s="223" t="s">
        <v>648</v>
      </c>
      <c r="H237" s="223"/>
      <c r="I237" s="223" t="s">
        <v>649</v>
      </c>
      <c r="J237" s="223"/>
      <c r="K237" s="223" t="s">
        <v>575</v>
      </c>
      <c r="L237" s="223"/>
      <c r="M237" s="224"/>
    </row>
    <row r="238" spans="2:15" ht="23.25" x14ac:dyDescent="0.35">
      <c r="B238" s="29" t="s">
        <v>334</v>
      </c>
      <c r="C238" s="229" t="s">
        <v>162</v>
      </c>
      <c r="D238" s="229"/>
      <c r="E238" s="229"/>
      <c r="F238" s="229"/>
      <c r="G238" s="229"/>
      <c r="H238" s="229"/>
      <c r="I238" s="229"/>
      <c r="J238" s="229"/>
      <c r="O238" s="101" t="s">
        <v>481</v>
      </c>
    </row>
    <row r="239" spans="2:15" ht="18.75" x14ac:dyDescent="0.3">
      <c r="B239" s="12" t="s">
        <v>335</v>
      </c>
      <c r="C239" s="195" t="s">
        <v>336</v>
      </c>
      <c r="D239" s="228" t="s">
        <v>427</v>
      </c>
      <c r="E239" s="228"/>
      <c r="F239" s="1" t="s">
        <v>586</v>
      </c>
      <c r="L239" s="12" t="s">
        <v>339</v>
      </c>
      <c r="M239" s="6" t="s">
        <v>161</v>
      </c>
    </row>
    <row r="241" spans="2:15" x14ac:dyDescent="0.25">
      <c r="B241" s="2" t="s">
        <v>341</v>
      </c>
      <c r="C241" s="298" t="s">
        <v>729</v>
      </c>
      <c r="D241" s="298"/>
      <c r="E241" s="298" t="s">
        <v>730</v>
      </c>
      <c r="F241" s="298"/>
      <c r="G241" s="298" t="s">
        <v>731</v>
      </c>
      <c r="H241" s="298"/>
      <c r="I241" s="228" t="s">
        <v>345</v>
      </c>
      <c r="J241" s="228"/>
      <c r="K241" s="228"/>
      <c r="L241" s="228"/>
      <c r="M241" s="228"/>
      <c r="O241" s="106" t="s">
        <v>732</v>
      </c>
    </row>
    <row r="242" spans="2:15" x14ac:dyDescent="0.25">
      <c r="C242" s="251"/>
      <c r="D242" s="251"/>
      <c r="K242" s="7"/>
      <c r="L242" s="7"/>
      <c r="M242" s="7"/>
      <c r="O242" s="7"/>
    </row>
    <row r="243" spans="2:15" x14ac:dyDescent="0.25">
      <c r="B243" s="11" t="s">
        <v>595</v>
      </c>
      <c r="C243" s="231" t="s">
        <v>596</v>
      </c>
      <c r="D243" s="231"/>
      <c r="E243" s="231" t="s">
        <v>597</v>
      </c>
      <c r="F243" s="231"/>
      <c r="G243" s="231" t="s">
        <v>598</v>
      </c>
      <c r="H243" s="231"/>
      <c r="I243" s="14" t="s">
        <v>599</v>
      </c>
      <c r="L243" s="7"/>
      <c r="M243" s="7"/>
      <c r="O243" s="98" t="e">
        <f>O194</f>
        <v>#REF!</v>
      </c>
    </row>
    <row r="244" spans="2:15" x14ac:dyDescent="0.25">
      <c r="B244" s="11"/>
      <c r="C244" s="11"/>
      <c r="D244" s="11"/>
      <c r="E244" s="11"/>
      <c r="F244" s="185"/>
      <c r="G244" s="11"/>
      <c r="H244" s="185"/>
      <c r="I244" s="14" t="s">
        <v>733</v>
      </c>
      <c r="L244" s="7"/>
      <c r="M244" s="7"/>
      <c r="O244" s="98"/>
    </row>
    <row r="245" spans="2:15" x14ac:dyDescent="0.25">
      <c r="B245" s="1" t="s">
        <v>601</v>
      </c>
      <c r="C245" s="296" t="s">
        <v>602</v>
      </c>
      <c r="D245" s="296"/>
      <c r="E245" s="296" t="s">
        <v>603</v>
      </c>
      <c r="F245" s="296"/>
      <c r="G245" s="296" t="s">
        <v>604</v>
      </c>
      <c r="H245" s="296"/>
      <c r="I245" s="14" t="s">
        <v>734</v>
      </c>
      <c r="L245" s="7"/>
      <c r="M245" s="7"/>
      <c r="O245" s="98" t="e">
        <f>'Dressing,Sauce,Gravy(400-499)'!O34</f>
        <v>#REF!</v>
      </c>
    </row>
    <row r="246" spans="2:15" x14ac:dyDescent="0.25">
      <c r="B246" s="1"/>
      <c r="C246" s="1"/>
      <c r="D246" s="195"/>
      <c r="E246" s="283"/>
      <c r="F246" s="283"/>
      <c r="G246" s="283"/>
      <c r="H246" s="283"/>
      <c r="I246" s="14" t="s">
        <v>735</v>
      </c>
      <c r="L246" s="7"/>
      <c r="M246" s="7"/>
      <c r="O246" s="98"/>
    </row>
    <row r="247" spans="2:15" x14ac:dyDescent="0.25">
      <c r="B247" s="11" t="s">
        <v>607</v>
      </c>
      <c r="C247" s="230" t="s">
        <v>596</v>
      </c>
      <c r="D247" s="230"/>
      <c r="E247" s="230" t="s">
        <v>597</v>
      </c>
      <c r="F247" s="230"/>
      <c r="G247" s="230" t="s">
        <v>598</v>
      </c>
      <c r="H247" s="230"/>
      <c r="I247" s="14" t="s">
        <v>600</v>
      </c>
      <c r="L247" s="7"/>
      <c r="M247" s="7"/>
      <c r="O247" s="107" t="e">
        <f>SUM(6*#REF!)/48</f>
        <v>#REF!</v>
      </c>
    </row>
    <row r="248" spans="2:15" x14ac:dyDescent="0.25">
      <c r="B248" s="11"/>
      <c r="C248" s="185"/>
      <c r="D248" s="185"/>
      <c r="E248" s="185"/>
      <c r="F248" s="185"/>
      <c r="G248" s="185"/>
      <c r="H248" s="185"/>
      <c r="I248" s="14" t="s">
        <v>605</v>
      </c>
      <c r="L248" s="7"/>
      <c r="M248" s="7"/>
    </row>
    <row r="249" spans="2:15" x14ac:dyDescent="0.25">
      <c r="B249" s="32" t="s">
        <v>736</v>
      </c>
      <c r="C249" s="299" t="s">
        <v>737</v>
      </c>
      <c r="D249" s="288"/>
      <c r="E249" s="299" t="s">
        <v>738</v>
      </c>
      <c r="F249" s="288"/>
      <c r="G249" s="299" t="s">
        <v>739</v>
      </c>
      <c r="H249" s="288"/>
      <c r="I249" s="14" t="s">
        <v>606</v>
      </c>
      <c r="L249" s="7"/>
      <c r="M249" s="7"/>
      <c r="O249" s="98" t="e">
        <f>SUM(4.25*#REF!)/48</f>
        <v>#REF!</v>
      </c>
    </row>
    <row r="250" spans="2:15" x14ac:dyDescent="0.25">
      <c r="B250" s="32" t="s">
        <v>740</v>
      </c>
      <c r="C250" s="198"/>
      <c r="D250" s="198"/>
      <c r="E250" s="198"/>
      <c r="F250" s="198"/>
      <c r="G250" s="198"/>
      <c r="H250" s="198"/>
      <c r="I250" s="14" t="s">
        <v>608</v>
      </c>
      <c r="L250" s="7"/>
      <c r="M250" s="7"/>
      <c r="O250" s="98"/>
    </row>
    <row r="251" spans="2:15" x14ac:dyDescent="0.25">
      <c r="B251" s="11" t="s">
        <v>741</v>
      </c>
      <c r="C251" s="230" t="s">
        <v>486</v>
      </c>
      <c r="D251" s="230"/>
      <c r="E251" s="230" t="s">
        <v>491</v>
      </c>
      <c r="F251" s="230"/>
      <c r="G251" s="230" t="s">
        <v>742</v>
      </c>
      <c r="H251" s="230"/>
      <c r="I251" s="14" t="s">
        <v>609</v>
      </c>
      <c r="L251" s="7"/>
      <c r="M251" s="7"/>
      <c r="O251" s="98" t="e">
        <f>SUM(1*#REF!)/48</f>
        <v>#REF!</v>
      </c>
    </row>
    <row r="252" spans="2:15" x14ac:dyDescent="0.25">
      <c r="B252" s="11"/>
      <c r="C252" s="185"/>
      <c r="D252" s="185"/>
      <c r="E252" s="185"/>
      <c r="F252" s="185"/>
      <c r="G252" s="185"/>
      <c r="H252" s="185"/>
      <c r="I252" s="14" t="s">
        <v>743</v>
      </c>
      <c r="J252" s="14"/>
      <c r="L252" s="7"/>
      <c r="M252" s="7"/>
      <c r="O252" s="98"/>
    </row>
    <row r="253" spans="2:15" x14ac:dyDescent="0.25">
      <c r="B253" s="32" t="s">
        <v>389</v>
      </c>
      <c r="C253" s="288" t="s">
        <v>657</v>
      </c>
      <c r="D253" s="288"/>
      <c r="E253" s="288" t="s">
        <v>486</v>
      </c>
      <c r="F253" s="288"/>
      <c r="G253" s="288" t="s">
        <v>744</v>
      </c>
      <c r="H253" s="288"/>
      <c r="I253" s="14" t="s">
        <v>707</v>
      </c>
      <c r="J253" s="14"/>
      <c r="L253" s="7"/>
      <c r="M253" s="7"/>
      <c r="O253" s="105" t="e">
        <f>SUM(1.5*#REF!)/48</f>
        <v>#REF!</v>
      </c>
    </row>
    <row r="254" spans="2:15" x14ac:dyDescent="0.25">
      <c r="B254" s="32" t="s">
        <v>745</v>
      </c>
      <c r="C254" s="198"/>
      <c r="D254" s="198"/>
      <c r="E254" s="198"/>
      <c r="F254" s="198"/>
      <c r="G254" s="198"/>
      <c r="H254" s="198"/>
      <c r="I254" s="14" t="s">
        <v>708</v>
      </c>
      <c r="J254" s="14"/>
      <c r="L254" s="7"/>
      <c r="M254" s="7"/>
    </row>
    <row r="255" spans="2:15" x14ac:dyDescent="0.25">
      <c r="B255" s="32"/>
      <c r="C255" s="198"/>
      <c r="D255" s="198"/>
      <c r="E255" s="198"/>
      <c r="F255" s="198"/>
      <c r="G255" s="198"/>
      <c r="H255" s="198"/>
      <c r="I255" s="14" t="s">
        <v>612</v>
      </c>
      <c r="J255" s="14"/>
      <c r="L255" s="7"/>
      <c r="M255" s="7"/>
      <c r="O255" s="100" t="e">
        <f>SUM(O243:O253)</f>
        <v>#REF!</v>
      </c>
    </row>
    <row r="256" spans="2:15" x14ac:dyDescent="0.25">
      <c r="B256" s="32"/>
      <c r="C256" s="198"/>
      <c r="D256" s="198"/>
      <c r="E256" s="198"/>
      <c r="F256" s="198"/>
      <c r="G256" s="198"/>
      <c r="H256" s="198"/>
      <c r="I256" s="93" t="s">
        <v>613</v>
      </c>
      <c r="J256" s="14"/>
      <c r="L256" s="7"/>
      <c r="M256" s="7"/>
    </row>
    <row r="257" spans="2:15" x14ac:dyDescent="0.25">
      <c r="B257" s="300" t="s">
        <v>401</v>
      </c>
      <c r="C257" s="301"/>
      <c r="D257" s="301"/>
      <c r="E257" s="301"/>
      <c r="F257" s="301"/>
      <c r="G257" s="301"/>
      <c r="H257" s="301"/>
      <c r="I257" s="301"/>
      <c r="J257" s="301"/>
      <c r="K257" s="301"/>
      <c r="L257" s="301"/>
      <c r="M257" s="302"/>
    </row>
    <row r="258" spans="2:15" x14ac:dyDescent="0.25">
      <c r="B258" s="94" t="s">
        <v>402</v>
      </c>
      <c r="C258" s="303" t="s">
        <v>403</v>
      </c>
      <c r="D258" s="303"/>
      <c r="E258" s="304" t="s">
        <v>404</v>
      </c>
      <c r="F258" s="304"/>
      <c r="G258" s="303" t="s">
        <v>405</v>
      </c>
      <c r="H258" s="303"/>
      <c r="I258" s="303" t="s">
        <v>406</v>
      </c>
      <c r="J258" s="303"/>
      <c r="K258" s="305" t="s">
        <v>407</v>
      </c>
      <c r="L258" s="306"/>
      <c r="M258" s="307"/>
    </row>
    <row r="259" spans="2:15" ht="15.75" thickBot="1" x14ac:dyDescent="0.3">
      <c r="B259" s="5">
        <v>2.99</v>
      </c>
      <c r="C259" s="237">
        <v>2</v>
      </c>
      <c r="D259" s="238"/>
      <c r="E259" s="239">
        <v>0.25</v>
      </c>
      <c r="F259" s="238"/>
      <c r="G259" s="240"/>
      <c r="H259" s="240"/>
      <c r="I259" s="241"/>
      <c r="J259" s="241"/>
      <c r="K259" s="242">
        <v>8.0000000000000002E-3</v>
      </c>
      <c r="L259" s="243"/>
      <c r="M259" s="244"/>
    </row>
    <row r="260" spans="2:15" x14ac:dyDescent="0.25">
      <c r="B260" s="1"/>
      <c r="C260" s="1"/>
      <c r="D260" s="1"/>
      <c r="E260" s="1"/>
      <c r="F260" s="1"/>
      <c r="G260" s="1"/>
      <c r="H260" s="1"/>
    </row>
    <row r="261" spans="2:15" x14ac:dyDescent="0.25">
      <c r="B261" s="217" t="s">
        <v>408</v>
      </c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9"/>
    </row>
    <row r="262" spans="2:15" x14ac:dyDescent="0.25">
      <c r="B262" s="122" t="s">
        <v>746</v>
      </c>
      <c r="C262" s="220" t="s">
        <v>747</v>
      </c>
      <c r="D262" s="220"/>
      <c r="E262" s="221" t="s">
        <v>748</v>
      </c>
      <c r="F262" s="221"/>
      <c r="G262" s="221" t="s">
        <v>749</v>
      </c>
      <c r="H262" s="221"/>
      <c r="I262" s="220" t="s">
        <v>713</v>
      </c>
      <c r="J262" s="220"/>
      <c r="K262" s="220" t="s">
        <v>621</v>
      </c>
      <c r="L262" s="220"/>
      <c r="M262" s="222"/>
    </row>
    <row r="263" spans="2:15" x14ac:dyDescent="0.25">
      <c r="B263" s="123" t="s">
        <v>622</v>
      </c>
      <c r="C263" s="225" t="s">
        <v>750</v>
      </c>
      <c r="D263" s="226"/>
      <c r="E263" s="227" t="s">
        <v>751</v>
      </c>
      <c r="F263" s="227"/>
      <c r="G263" s="223" t="s">
        <v>752</v>
      </c>
      <c r="H263" s="223"/>
      <c r="I263" s="227" t="s">
        <v>626</v>
      </c>
      <c r="J263" s="227"/>
      <c r="K263" s="223" t="s">
        <v>753</v>
      </c>
      <c r="L263" s="223"/>
      <c r="M263" s="224"/>
    </row>
    <row r="264" spans="2:15" x14ac:dyDescent="0.25">
      <c r="B264" s="123" t="s">
        <v>628</v>
      </c>
      <c r="C264" s="225" t="s">
        <v>422</v>
      </c>
      <c r="D264" s="226"/>
      <c r="E264" s="227" t="s">
        <v>629</v>
      </c>
      <c r="F264" s="227"/>
      <c r="G264" s="223" t="s">
        <v>630</v>
      </c>
      <c r="H264" s="223"/>
      <c r="I264" s="223" t="s">
        <v>719</v>
      </c>
      <c r="J264" s="223"/>
      <c r="K264" s="223" t="s">
        <v>575</v>
      </c>
      <c r="L264" s="223"/>
      <c r="M264" s="224"/>
    </row>
    <row r="266" spans="2:15" ht="23.25" x14ac:dyDescent="0.35">
      <c r="B266" s="29" t="s">
        <v>334</v>
      </c>
      <c r="C266" s="229" t="s">
        <v>164</v>
      </c>
      <c r="D266" s="229"/>
      <c r="E266" s="229"/>
      <c r="F266" s="229"/>
      <c r="G266" s="229"/>
      <c r="H266" s="229"/>
      <c r="I266" s="229"/>
      <c r="J266" s="229"/>
      <c r="O266" s="101" t="s">
        <v>481</v>
      </c>
    </row>
    <row r="267" spans="2:15" ht="18.75" x14ac:dyDescent="0.3">
      <c r="B267" s="12" t="s">
        <v>335</v>
      </c>
      <c r="C267" s="195" t="s">
        <v>336</v>
      </c>
      <c r="D267" s="228" t="s">
        <v>427</v>
      </c>
      <c r="E267" s="228"/>
      <c r="F267" s="1" t="s">
        <v>586</v>
      </c>
      <c r="L267" s="12" t="s">
        <v>339</v>
      </c>
      <c r="M267" s="6" t="s">
        <v>163</v>
      </c>
    </row>
    <row r="269" spans="2:15" x14ac:dyDescent="0.25">
      <c r="B269" s="2" t="s">
        <v>341</v>
      </c>
      <c r="C269" s="298" t="s">
        <v>729</v>
      </c>
      <c r="D269" s="298"/>
      <c r="E269" s="298" t="s">
        <v>730</v>
      </c>
      <c r="F269" s="298"/>
      <c r="G269" s="298" t="s">
        <v>731</v>
      </c>
      <c r="H269" s="298"/>
      <c r="I269" s="228" t="s">
        <v>345</v>
      </c>
      <c r="J269" s="228"/>
      <c r="K269" s="228"/>
      <c r="L269" s="228"/>
      <c r="M269" s="228"/>
      <c r="O269" s="106" t="s">
        <v>732</v>
      </c>
    </row>
    <row r="270" spans="2:15" x14ac:dyDescent="0.25">
      <c r="C270" s="251"/>
      <c r="D270" s="251"/>
      <c r="K270" s="7"/>
      <c r="L270" s="7"/>
      <c r="M270" s="7"/>
      <c r="O270" s="7"/>
    </row>
    <row r="271" spans="2:15" x14ac:dyDescent="0.25">
      <c r="B271" s="11" t="s">
        <v>595</v>
      </c>
      <c r="C271" s="231" t="s">
        <v>596</v>
      </c>
      <c r="D271" s="231"/>
      <c r="E271" s="231" t="s">
        <v>597</v>
      </c>
      <c r="F271" s="231"/>
      <c r="G271" s="231" t="s">
        <v>598</v>
      </c>
      <c r="H271" s="231"/>
      <c r="I271" s="14" t="s">
        <v>599</v>
      </c>
      <c r="L271" s="7"/>
      <c r="M271" s="7"/>
      <c r="O271" s="98" t="e">
        <f>O194</f>
        <v>#REF!</v>
      </c>
    </row>
    <row r="272" spans="2:15" x14ac:dyDescent="0.25">
      <c r="B272" s="11"/>
      <c r="C272" s="11"/>
      <c r="D272" s="11"/>
      <c r="E272" s="11"/>
      <c r="F272" s="185"/>
      <c r="G272" s="11"/>
      <c r="H272" s="185"/>
      <c r="I272" s="14" t="s">
        <v>600</v>
      </c>
      <c r="L272" s="7"/>
      <c r="M272" s="7"/>
      <c r="O272" s="98"/>
    </row>
    <row r="273" spans="2:15" x14ac:dyDescent="0.25">
      <c r="B273" s="1" t="s">
        <v>601</v>
      </c>
      <c r="C273" s="296" t="s">
        <v>602</v>
      </c>
      <c r="D273" s="296"/>
      <c r="E273" s="296" t="s">
        <v>603</v>
      </c>
      <c r="F273" s="296"/>
      <c r="G273" s="296" t="s">
        <v>604</v>
      </c>
      <c r="H273" s="296"/>
      <c r="I273" s="14" t="s">
        <v>605</v>
      </c>
      <c r="L273" s="7"/>
      <c r="M273" s="7"/>
      <c r="O273" s="98" t="e">
        <f>'Dressing,Sauce,Gravy(400-499)'!O34</f>
        <v>#REF!</v>
      </c>
    </row>
    <row r="274" spans="2:15" x14ac:dyDescent="0.25">
      <c r="B274" s="1"/>
      <c r="C274" s="1"/>
      <c r="D274" s="195"/>
      <c r="E274" s="283"/>
      <c r="F274" s="283"/>
      <c r="G274" s="283"/>
      <c r="H274" s="283"/>
      <c r="I274" s="14" t="s">
        <v>606</v>
      </c>
      <c r="L274" s="7"/>
      <c r="M274" s="7"/>
      <c r="O274" s="98"/>
    </row>
    <row r="275" spans="2:15" x14ac:dyDescent="0.25">
      <c r="B275" s="11" t="s">
        <v>607</v>
      </c>
      <c r="C275" s="230" t="s">
        <v>596</v>
      </c>
      <c r="D275" s="230"/>
      <c r="E275" s="230" t="s">
        <v>597</v>
      </c>
      <c r="F275" s="230"/>
      <c r="G275" s="230" t="s">
        <v>598</v>
      </c>
      <c r="H275" s="230"/>
      <c r="I275" s="14" t="s">
        <v>608</v>
      </c>
      <c r="L275" s="7"/>
      <c r="M275" s="7"/>
      <c r="O275" s="107" t="e">
        <f>SUM(6*#REF!)/48</f>
        <v>#REF!</v>
      </c>
    </row>
    <row r="276" spans="2:15" x14ac:dyDescent="0.25">
      <c r="B276" s="11"/>
      <c r="C276" s="185"/>
      <c r="D276" s="185"/>
      <c r="E276" s="185"/>
      <c r="F276" s="185"/>
      <c r="G276" s="185"/>
      <c r="H276" s="185"/>
      <c r="I276" s="14" t="s">
        <v>609</v>
      </c>
      <c r="L276" s="7"/>
      <c r="M276" s="7"/>
    </row>
    <row r="277" spans="2:15" x14ac:dyDescent="0.25">
      <c r="B277" s="32" t="s">
        <v>703</v>
      </c>
      <c r="C277" s="288" t="s">
        <v>704</v>
      </c>
      <c r="D277" s="288"/>
      <c r="E277" s="288" t="s">
        <v>705</v>
      </c>
      <c r="F277" s="288"/>
      <c r="G277" s="288" t="s">
        <v>706</v>
      </c>
      <c r="H277" s="288"/>
      <c r="I277" s="14" t="s">
        <v>754</v>
      </c>
      <c r="L277" s="7"/>
      <c r="M277" s="7"/>
      <c r="O277" s="98" t="e">
        <f>SUM(72*#REF!)/48</f>
        <v>#REF!</v>
      </c>
    </row>
    <row r="278" spans="2:15" x14ac:dyDescent="0.25">
      <c r="B278" s="32"/>
      <c r="C278" s="198"/>
      <c r="D278" s="198"/>
      <c r="E278" s="198"/>
      <c r="F278" s="198"/>
      <c r="G278" s="198"/>
      <c r="H278" s="198"/>
      <c r="I278" s="14" t="s">
        <v>755</v>
      </c>
      <c r="L278" s="7"/>
      <c r="M278" s="7"/>
      <c r="O278" s="98"/>
    </row>
    <row r="279" spans="2:15" x14ac:dyDescent="0.25">
      <c r="B279" s="11" t="s">
        <v>756</v>
      </c>
      <c r="C279" s="230" t="s">
        <v>496</v>
      </c>
      <c r="D279" s="230"/>
      <c r="E279" s="230" t="s">
        <v>757</v>
      </c>
      <c r="F279" s="230"/>
      <c r="G279" s="230" t="s">
        <v>758</v>
      </c>
      <c r="H279" s="230"/>
      <c r="I279" s="14" t="s">
        <v>759</v>
      </c>
      <c r="L279" s="7"/>
      <c r="M279" s="7"/>
      <c r="O279" s="98" t="e">
        <f>SUM(2*#REF!)/48</f>
        <v>#REF!</v>
      </c>
    </row>
    <row r="280" spans="2:15" x14ac:dyDescent="0.25">
      <c r="B280" s="11" t="s">
        <v>760</v>
      </c>
      <c r="C280" s="185"/>
      <c r="D280" s="185"/>
      <c r="E280" s="185"/>
      <c r="F280" s="185"/>
      <c r="G280" s="185"/>
      <c r="H280" s="185"/>
      <c r="I280" s="14" t="s">
        <v>707</v>
      </c>
      <c r="J280" s="14"/>
      <c r="L280" s="7"/>
      <c r="M280" s="7"/>
      <c r="O280" s="98"/>
    </row>
    <row r="281" spans="2:15" x14ac:dyDescent="0.25">
      <c r="B281" s="32" t="s">
        <v>761</v>
      </c>
      <c r="C281" s="288" t="s">
        <v>496</v>
      </c>
      <c r="D281" s="288"/>
      <c r="E281" s="288" t="s">
        <v>757</v>
      </c>
      <c r="F281" s="288"/>
      <c r="G281" s="288" t="s">
        <v>758</v>
      </c>
      <c r="H281" s="288"/>
      <c r="I281" s="14" t="s">
        <v>708</v>
      </c>
      <c r="J281" s="14"/>
      <c r="L281" s="7"/>
      <c r="M281" s="7"/>
      <c r="O281" s="98" t="e">
        <f>SUM(2*#REF!)/48</f>
        <v>#REF!</v>
      </c>
    </row>
    <row r="282" spans="2:15" x14ac:dyDescent="0.25">
      <c r="B282" s="32"/>
      <c r="C282" s="198"/>
      <c r="D282" s="198"/>
      <c r="E282" s="198"/>
      <c r="F282" s="198"/>
      <c r="G282" s="198"/>
      <c r="H282" s="198"/>
      <c r="I282" s="14" t="s">
        <v>612</v>
      </c>
      <c r="J282" s="14"/>
      <c r="L282" s="7"/>
      <c r="M282" s="7"/>
      <c r="O282" s="98"/>
    </row>
    <row r="283" spans="2:15" x14ac:dyDescent="0.25">
      <c r="B283" s="11" t="s">
        <v>762</v>
      </c>
      <c r="C283" s="230" t="s">
        <v>496</v>
      </c>
      <c r="D283" s="230"/>
      <c r="E283" s="230" t="s">
        <v>757</v>
      </c>
      <c r="F283" s="230"/>
      <c r="G283" s="230" t="s">
        <v>758</v>
      </c>
      <c r="H283" s="230"/>
      <c r="I283" s="92" t="s">
        <v>613</v>
      </c>
      <c r="J283" s="14"/>
      <c r="L283" s="7"/>
      <c r="M283" s="7"/>
      <c r="O283" s="105" t="e">
        <f>SUM(2*#REF!)/48</f>
        <v>#REF!</v>
      </c>
    </row>
    <row r="284" spans="2:15" ht="15.75" thickBot="1" x14ac:dyDescent="0.3">
      <c r="B284" s="11" t="s">
        <v>760</v>
      </c>
      <c r="C284" s="185"/>
      <c r="D284" s="185"/>
      <c r="E284" s="185"/>
      <c r="F284" s="185"/>
      <c r="G284" s="185"/>
      <c r="H284" s="185"/>
      <c r="I284" s="14"/>
      <c r="J284" s="14"/>
      <c r="L284" s="7"/>
      <c r="M284" s="7"/>
      <c r="O284" s="98"/>
    </row>
    <row r="285" spans="2:15" x14ac:dyDescent="0.25">
      <c r="B285" s="217" t="s">
        <v>401</v>
      </c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9"/>
      <c r="O285" s="100" t="e">
        <f>SUM(O271:O283)</f>
        <v>#REF!</v>
      </c>
    </row>
    <row r="286" spans="2:15" x14ac:dyDescent="0.25">
      <c r="B286" s="3" t="s">
        <v>402</v>
      </c>
      <c r="C286" s="232" t="s">
        <v>403</v>
      </c>
      <c r="D286" s="232"/>
      <c r="E286" s="233" t="s">
        <v>404</v>
      </c>
      <c r="F286" s="233"/>
      <c r="G286" s="232" t="s">
        <v>405</v>
      </c>
      <c r="H286" s="232"/>
      <c r="I286" s="232" t="s">
        <v>406</v>
      </c>
      <c r="J286" s="232"/>
      <c r="K286" s="234" t="s">
        <v>407</v>
      </c>
      <c r="L286" s="235"/>
      <c r="M286" s="236"/>
      <c r="O286" s="98"/>
    </row>
    <row r="287" spans="2:15" ht="15.75" thickBot="1" x14ac:dyDescent="0.3">
      <c r="B287" s="5">
        <v>3</v>
      </c>
      <c r="C287" s="237">
        <v>2</v>
      </c>
      <c r="D287" s="238"/>
      <c r="E287" s="239">
        <v>0.26</v>
      </c>
      <c r="F287" s="238"/>
      <c r="G287" s="240"/>
      <c r="H287" s="240"/>
      <c r="I287" s="241"/>
      <c r="J287" s="241"/>
      <c r="K287" s="242">
        <v>4.7E-2</v>
      </c>
      <c r="L287" s="243"/>
      <c r="M287" s="244"/>
    </row>
    <row r="288" spans="2:15" x14ac:dyDescent="0.25">
      <c r="B288" s="1"/>
      <c r="C288" s="1"/>
      <c r="D288" s="1"/>
      <c r="E288" s="1"/>
      <c r="F288" s="1"/>
      <c r="G288" s="1"/>
      <c r="H288" s="1"/>
    </row>
    <row r="289" spans="2:15" x14ac:dyDescent="0.25">
      <c r="B289" s="217" t="s">
        <v>408</v>
      </c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9"/>
    </row>
    <row r="290" spans="2:15" x14ac:dyDescent="0.25">
      <c r="B290" s="122" t="s">
        <v>763</v>
      </c>
      <c r="C290" s="220" t="s">
        <v>764</v>
      </c>
      <c r="D290" s="220"/>
      <c r="E290" s="221" t="s">
        <v>711</v>
      </c>
      <c r="F290" s="221"/>
      <c r="G290" s="221" t="s">
        <v>712</v>
      </c>
      <c r="H290" s="221"/>
      <c r="I290" s="220" t="s">
        <v>765</v>
      </c>
      <c r="J290" s="220"/>
      <c r="K290" s="220" t="s">
        <v>766</v>
      </c>
      <c r="L290" s="220"/>
      <c r="M290" s="222"/>
    </row>
    <row r="291" spans="2:15" x14ac:dyDescent="0.25">
      <c r="B291" s="123" t="s">
        <v>767</v>
      </c>
      <c r="C291" s="225" t="s">
        <v>714</v>
      </c>
      <c r="D291" s="226"/>
      <c r="E291" s="227" t="s">
        <v>768</v>
      </c>
      <c r="F291" s="227"/>
      <c r="G291" s="223" t="s">
        <v>769</v>
      </c>
      <c r="H291" s="223"/>
      <c r="I291" s="227" t="s">
        <v>770</v>
      </c>
      <c r="J291" s="227"/>
      <c r="K291" s="223" t="s">
        <v>771</v>
      </c>
      <c r="L291" s="223"/>
      <c r="M291" s="224"/>
    </row>
    <row r="292" spans="2:15" x14ac:dyDescent="0.25">
      <c r="B292" s="123" t="s">
        <v>772</v>
      </c>
      <c r="C292" s="225" t="s">
        <v>422</v>
      </c>
      <c r="D292" s="226"/>
      <c r="E292" s="227" t="s">
        <v>773</v>
      </c>
      <c r="F292" s="227"/>
      <c r="G292" s="223" t="s">
        <v>774</v>
      </c>
      <c r="H292" s="223"/>
      <c r="I292" s="223" t="s">
        <v>775</v>
      </c>
      <c r="J292" s="223"/>
      <c r="K292" s="223" t="s">
        <v>575</v>
      </c>
      <c r="L292" s="223"/>
      <c r="M292" s="224"/>
    </row>
    <row r="294" spans="2:15" ht="23.25" x14ac:dyDescent="0.35">
      <c r="B294" s="29" t="s">
        <v>334</v>
      </c>
      <c r="C294" s="229" t="s">
        <v>166</v>
      </c>
      <c r="D294" s="229"/>
      <c r="E294" s="229"/>
      <c r="F294" s="229"/>
      <c r="G294" s="229"/>
      <c r="H294" s="229"/>
      <c r="I294" s="229"/>
      <c r="J294" s="229"/>
      <c r="O294" s="101" t="s">
        <v>481</v>
      </c>
    </row>
    <row r="295" spans="2:15" ht="18.75" x14ac:dyDescent="0.3">
      <c r="B295" s="12" t="s">
        <v>335</v>
      </c>
      <c r="C295" s="195" t="s">
        <v>336</v>
      </c>
      <c r="D295" s="228" t="s">
        <v>427</v>
      </c>
      <c r="E295" s="228"/>
      <c r="F295" s="1" t="s">
        <v>586</v>
      </c>
      <c r="L295" s="12" t="s">
        <v>339</v>
      </c>
      <c r="M295" s="6" t="s">
        <v>165</v>
      </c>
    </row>
    <row r="297" spans="2:15" x14ac:dyDescent="0.25">
      <c r="B297" s="2" t="s">
        <v>341</v>
      </c>
      <c r="C297" s="298" t="s">
        <v>729</v>
      </c>
      <c r="D297" s="298"/>
      <c r="E297" s="298" t="s">
        <v>730</v>
      </c>
      <c r="F297" s="298"/>
      <c r="G297" s="298" t="s">
        <v>731</v>
      </c>
      <c r="H297" s="298"/>
      <c r="I297" s="228" t="s">
        <v>345</v>
      </c>
      <c r="J297" s="228"/>
      <c r="K297" s="228"/>
      <c r="L297" s="228"/>
      <c r="M297" s="228"/>
      <c r="O297" s="106" t="s">
        <v>732</v>
      </c>
    </row>
    <row r="298" spans="2:15" x14ac:dyDescent="0.25">
      <c r="C298" s="251"/>
      <c r="D298" s="251"/>
      <c r="K298" s="7"/>
      <c r="L298" s="7"/>
      <c r="M298" s="7"/>
      <c r="O298" s="7"/>
    </row>
    <row r="299" spans="2:15" x14ac:dyDescent="0.25">
      <c r="B299" s="11" t="s">
        <v>595</v>
      </c>
      <c r="C299" s="231" t="s">
        <v>596</v>
      </c>
      <c r="D299" s="231"/>
      <c r="E299" s="231" t="s">
        <v>597</v>
      </c>
      <c r="F299" s="231"/>
      <c r="G299" s="231" t="s">
        <v>598</v>
      </c>
      <c r="H299" s="231"/>
      <c r="I299" s="14" t="s">
        <v>599</v>
      </c>
      <c r="L299" s="7"/>
      <c r="M299" s="7"/>
      <c r="O299" s="98" t="e">
        <f>O194</f>
        <v>#REF!</v>
      </c>
    </row>
    <row r="300" spans="2:15" x14ac:dyDescent="0.25">
      <c r="B300" s="11"/>
      <c r="C300" s="11"/>
      <c r="D300" s="11"/>
      <c r="E300" s="11"/>
      <c r="F300" s="185"/>
      <c r="G300" s="11"/>
      <c r="H300" s="185"/>
      <c r="I300" s="14" t="s">
        <v>600</v>
      </c>
      <c r="L300" s="7"/>
      <c r="M300" s="7"/>
      <c r="O300" s="98"/>
    </row>
    <row r="301" spans="2:15" x14ac:dyDescent="0.25">
      <c r="B301" s="1" t="s">
        <v>601</v>
      </c>
      <c r="C301" s="296" t="s">
        <v>602</v>
      </c>
      <c r="D301" s="296"/>
      <c r="E301" s="296" t="s">
        <v>603</v>
      </c>
      <c r="F301" s="296"/>
      <c r="G301" s="296" t="s">
        <v>604</v>
      </c>
      <c r="H301" s="296"/>
      <c r="I301" s="14" t="s">
        <v>605</v>
      </c>
      <c r="L301" s="7"/>
      <c r="M301" s="7"/>
      <c r="O301" s="98" t="e">
        <f>'Dressing,Sauce,Gravy(400-499)'!O34</f>
        <v>#REF!</v>
      </c>
    </row>
    <row r="302" spans="2:15" x14ac:dyDescent="0.25">
      <c r="B302" s="1"/>
      <c r="C302" s="1"/>
      <c r="D302" s="195"/>
      <c r="E302" s="283"/>
      <c r="F302" s="283"/>
      <c r="G302" s="283"/>
      <c r="H302" s="283"/>
      <c r="I302" s="14" t="s">
        <v>606</v>
      </c>
      <c r="L302" s="7"/>
      <c r="M302" s="7"/>
      <c r="O302" s="98"/>
    </row>
    <row r="303" spans="2:15" x14ac:dyDescent="0.25">
      <c r="B303" s="11" t="s">
        <v>607</v>
      </c>
      <c r="C303" s="230" t="s">
        <v>596</v>
      </c>
      <c r="D303" s="230"/>
      <c r="E303" s="230" t="s">
        <v>597</v>
      </c>
      <c r="F303" s="230"/>
      <c r="G303" s="230" t="s">
        <v>598</v>
      </c>
      <c r="H303" s="230"/>
      <c r="I303" s="14" t="s">
        <v>608</v>
      </c>
      <c r="L303" s="7"/>
      <c r="M303" s="7"/>
      <c r="O303" s="107" t="e">
        <f>SUM(6*#REF!)/48</f>
        <v>#REF!</v>
      </c>
    </row>
    <row r="304" spans="2:15" x14ac:dyDescent="0.25">
      <c r="B304" s="11"/>
      <c r="C304" s="185"/>
      <c r="D304" s="185"/>
      <c r="E304" s="185"/>
      <c r="F304" s="185"/>
      <c r="G304" s="185"/>
      <c r="H304" s="185"/>
      <c r="I304" s="14" t="s">
        <v>609</v>
      </c>
      <c r="L304" s="7"/>
      <c r="M304" s="7"/>
    </row>
    <row r="305" spans="2:15" x14ac:dyDescent="0.25">
      <c r="B305" s="32" t="s">
        <v>776</v>
      </c>
      <c r="C305" s="299" t="s">
        <v>777</v>
      </c>
      <c r="D305" s="288"/>
      <c r="E305" s="299" t="s">
        <v>778</v>
      </c>
      <c r="F305" s="288"/>
      <c r="G305" s="299" t="s">
        <v>779</v>
      </c>
      <c r="H305" s="288"/>
      <c r="I305" s="14" t="s">
        <v>780</v>
      </c>
      <c r="L305" s="7"/>
      <c r="M305" s="7"/>
      <c r="O305" s="98" t="e">
        <f>SUM(54*#REF!)/48</f>
        <v>#REF!</v>
      </c>
    </row>
    <row r="306" spans="2:15" x14ac:dyDescent="0.25">
      <c r="B306" s="32"/>
      <c r="C306" s="198"/>
      <c r="D306" s="198"/>
      <c r="E306" s="198"/>
      <c r="F306" s="198"/>
      <c r="G306" s="198"/>
      <c r="H306" s="198"/>
      <c r="I306" s="14" t="s">
        <v>781</v>
      </c>
      <c r="L306" s="7"/>
      <c r="M306" s="7"/>
      <c r="O306" s="98"/>
    </row>
    <row r="307" spans="2:15" x14ac:dyDescent="0.25">
      <c r="B307" s="11" t="s">
        <v>782</v>
      </c>
      <c r="C307" s="230" t="s">
        <v>462</v>
      </c>
      <c r="D307" s="230"/>
      <c r="E307" s="230" t="s">
        <v>783</v>
      </c>
      <c r="F307" s="230"/>
      <c r="G307" s="230" t="s">
        <v>784</v>
      </c>
      <c r="H307" s="230"/>
      <c r="I307" s="14" t="s">
        <v>708</v>
      </c>
      <c r="L307" s="7"/>
      <c r="M307" s="7"/>
      <c r="O307" s="98" t="e">
        <f>SUM(50*#REF!)/48</f>
        <v>#REF!</v>
      </c>
    </row>
    <row r="308" spans="2:15" x14ac:dyDescent="0.25">
      <c r="B308" s="11"/>
      <c r="C308" s="185"/>
      <c r="D308" s="185"/>
      <c r="E308" s="185"/>
      <c r="F308" s="185"/>
      <c r="G308" s="185"/>
      <c r="H308" s="185"/>
      <c r="I308" s="14" t="s">
        <v>612</v>
      </c>
      <c r="J308" s="14"/>
      <c r="L308" s="7"/>
      <c r="M308" s="7"/>
      <c r="O308" s="98"/>
    </row>
    <row r="309" spans="2:15" x14ac:dyDescent="0.25">
      <c r="B309" s="32" t="s">
        <v>785</v>
      </c>
      <c r="C309" s="288" t="s">
        <v>786</v>
      </c>
      <c r="D309" s="288"/>
      <c r="E309" s="288" t="s">
        <v>383</v>
      </c>
      <c r="F309" s="288"/>
      <c r="G309" s="288" t="s">
        <v>787</v>
      </c>
      <c r="H309" s="288"/>
      <c r="I309" s="14" t="s">
        <v>613</v>
      </c>
      <c r="J309" s="14"/>
      <c r="L309" s="7"/>
      <c r="M309" s="7"/>
      <c r="O309" s="98" t="e">
        <f>SUM(1.25*#REF!)/48</f>
        <v>#REF!</v>
      </c>
    </row>
    <row r="310" spans="2:15" x14ac:dyDescent="0.25">
      <c r="B310" s="32"/>
      <c r="C310" s="198"/>
      <c r="D310" s="198"/>
      <c r="E310" s="198"/>
      <c r="F310" s="198"/>
      <c r="G310" s="198"/>
      <c r="H310" s="198"/>
      <c r="I310" s="14" t="s">
        <v>688</v>
      </c>
      <c r="J310" s="14"/>
      <c r="L310" s="7"/>
      <c r="M310" s="7"/>
      <c r="O310" s="98"/>
    </row>
    <row r="311" spans="2:15" x14ac:dyDescent="0.25">
      <c r="B311" s="11" t="s">
        <v>788</v>
      </c>
      <c r="C311" s="230" t="s">
        <v>789</v>
      </c>
      <c r="D311" s="230"/>
      <c r="E311" s="230" t="s">
        <v>790</v>
      </c>
      <c r="F311" s="230"/>
      <c r="G311" s="230" t="s">
        <v>791</v>
      </c>
      <c r="H311" s="230"/>
      <c r="J311" s="14"/>
      <c r="L311" s="7"/>
      <c r="M311" s="7"/>
      <c r="O311" s="105" t="e">
        <f>SUM(2*#REF!)/48</f>
        <v>#REF!</v>
      </c>
    </row>
    <row r="312" spans="2:15" x14ac:dyDescent="0.25">
      <c r="B312" s="11"/>
      <c r="C312" s="185"/>
      <c r="D312" s="185"/>
      <c r="E312" s="185"/>
      <c r="F312" s="185"/>
      <c r="G312" s="185"/>
      <c r="H312" s="185"/>
      <c r="J312" s="14"/>
      <c r="L312" s="7"/>
      <c r="M312" s="7"/>
      <c r="O312" s="98"/>
    </row>
    <row r="313" spans="2:15" x14ac:dyDescent="0.25">
      <c r="B313" s="217" t="s">
        <v>401</v>
      </c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9"/>
      <c r="O313" s="100" t="e">
        <f>SUM(O299:O311)</f>
        <v>#REF!</v>
      </c>
    </row>
    <row r="314" spans="2:15" x14ac:dyDescent="0.25">
      <c r="B314" s="3" t="s">
        <v>402</v>
      </c>
      <c r="C314" s="232" t="s">
        <v>403</v>
      </c>
      <c r="D314" s="232"/>
      <c r="E314" s="233" t="s">
        <v>404</v>
      </c>
      <c r="F314" s="233"/>
      <c r="G314" s="232" t="s">
        <v>405</v>
      </c>
      <c r="H314" s="232"/>
      <c r="I314" s="232" t="s">
        <v>406</v>
      </c>
      <c r="J314" s="232"/>
      <c r="K314" s="234" t="s">
        <v>407</v>
      </c>
      <c r="L314" s="235"/>
      <c r="M314" s="236"/>
      <c r="O314" s="98"/>
    </row>
    <row r="315" spans="2:15" ht="15.75" thickBot="1" x14ac:dyDescent="0.3">
      <c r="B315" s="5">
        <v>2</v>
      </c>
      <c r="C315" s="237">
        <v>2</v>
      </c>
      <c r="D315" s="238"/>
      <c r="E315" s="239">
        <v>0.307755</v>
      </c>
      <c r="F315" s="238"/>
      <c r="G315" s="240"/>
      <c r="H315" s="240"/>
      <c r="I315" s="240"/>
      <c r="J315" s="240"/>
      <c r="K315" s="239">
        <v>8.8980000000000004E-2</v>
      </c>
      <c r="L315" s="237"/>
      <c r="M315" s="308"/>
    </row>
    <row r="316" spans="2:15" x14ac:dyDescent="0.25">
      <c r="B316" s="1"/>
      <c r="C316" s="1"/>
      <c r="D316" s="1"/>
      <c r="E316" s="1"/>
      <c r="F316" s="1"/>
      <c r="G316" s="1"/>
      <c r="H316" s="1"/>
    </row>
    <row r="317" spans="2:15" x14ac:dyDescent="0.25">
      <c r="B317" s="217" t="s">
        <v>408</v>
      </c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9"/>
    </row>
    <row r="318" spans="2:15" x14ac:dyDescent="0.25">
      <c r="B318" s="122" t="s">
        <v>792</v>
      </c>
      <c r="C318" s="220" t="s">
        <v>617</v>
      </c>
      <c r="D318" s="220"/>
      <c r="E318" s="221" t="s">
        <v>618</v>
      </c>
      <c r="F318" s="221"/>
      <c r="G318" s="221" t="s">
        <v>619</v>
      </c>
      <c r="H318" s="221"/>
      <c r="I318" s="220" t="s">
        <v>793</v>
      </c>
      <c r="J318" s="220"/>
      <c r="K318" s="220" t="s">
        <v>794</v>
      </c>
      <c r="L318" s="220"/>
      <c r="M318" s="222"/>
    </row>
    <row r="319" spans="2:15" x14ac:dyDescent="0.25">
      <c r="B319" s="123" t="s">
        <v>795</v>
      </c>
      <c r="C319" s="225" t="s">
        <v>714</v>
      </c>
      <c r="D319" s="226"/>
      <c r="E319" s="227" t="s">
        <v>796</v>
      </c>
      <c r="F319" s="227"/>
      <c r="G319" s="223" t="s">
        <v>797</v>
      </c>
      <c r="H319" s="223"/>
      <c r="I319" s="227" t="s">
        <v>798</v>
      </c>
      <c r="J319" s="227"/>
      <c r="K319" s="223" t="s">
        <v>799</v>
      </c>
      <c r="L319" s="223"/>
      <c r="M319" s="224"/>
    </row>
    <row r="320" spans="2:15" x14ac:dyDescent="0.25">
      <c r="B320" s="123" t="s">
        <v>800</v>
      </c>
      <c r="C320" s="225" t="s">
        <v>422</v>
      </c>
      <c r="D320" s="226"/>
      <c r="E320" s="227" t="s">
        <v>801</v>
      </c>
      <c r="F320" s="227"/>
      <c r="G320" s="223" t="s">
        <v>802</v>
      </c>
      <c r="H320" s="223"/>
      <c r="I320" s="223" t="s">
        <v>803</v>
      </c>
      <c r="J320" s="223"/>
      <c r="K320" s="223" t="s">
        <v>575</v>
      </c>
      <c r="L320" s="223"/>
      <c r="M320" s="224"/>
    </row>
    <row r="322" spans="2:16" ht="23.25" x14ac:dyDescent="0.35">
      <c r="B322" s="29" t="s">
        <v>334</v>
      </c>
      <c r="C322" s="229" t="s">
        <v>188</v>
      </c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O322" s="101" t="s">
        <v>481</v>
      </c>
    </row>
    <row r="323" spans="2:16" ht="18.75" x14ac:dyDescent="0.3">
      <c r="B323" s="12" t="s">
        <v>335</v>
      </c>
      <c r="C323" s="195" t="s">
        <v>336</v>
      </c>
      <c r="D323" s="228" t="s">
        <v>427</v>
      </c>
      <c r="E323" s="228"/>
      <c r="F323" s="1" t="s">
        <v>804</v>
      </c>
      <c r="L323" s="12" t="s">
        <v>339</v>
      </c>
      <c r="M323" s="6" t="s">
        <v>187</v>
      </c>
    </row>
    <row r="325" spans="2:16" x14ac:dyDescent="0.25">
      <c r="B325" s="2" t="s">
        <v>341</v>
      </c>
      <c r="C325" s="250" t="s">
        <v>430</v>
      </c>
      <c r="D325" s="250"/>
      <c r="E325" s="250" t="s">
        <v>805</v>
      </c>
      <c r="F325" s="250"/>
      <c r="G325" s="228" t="s">
        <v>345</v>
      </c>
      <c r="H325" s="228"/>
      <c r="I325" s="228"/>
      <c r="J325" s="228"/>
      <c r="K325" s="228"/>
      <c r="O325" s="101" t="s">
        <v>541</v>
      </c>
    </row>
    <row r="326" spans="2:16" x14ac:dyDescent="0.25">
      <c r="C326" s="251"/>
      <c r="D326" s="251"/>
      <c r="I326" s="7"/>
      <c r="J326" s="7"/>
      <c r="K326" s="7"/>
    </row>
    <row r="327" spans="2:16" x14ac:dyDescent="0.25">
      <c r="B327" s="11" t="s">
        <v>806</v>
      </c>
      <c r="C327" s="231" t="s">
        <v>807</v>
      </c>
      <c r="D327" s="231"/>
      <c r="E327" s="231" t="s">
        <v>808</v>
      </c>
      <c r="F327" s="231"/>
      <c r="G327" s="14" t="s">
        <v>809</v>
      </c>
      <c r="J327" s="7"/>
      <c r="K327" s="7"/>
      <c r="O327" s="98" t="e">
        <f>SUM((150*(#REF!+#REF!)/2)/50)</f>
        <v>#REF!</v>
      </c>
    </row>
    <row r="328" spans="2:16" x14ac:dyDescent="0.25">
      <c r="B328" s="11"/>
      <c r="C328" s="11"/>
      <c r="D328" s="11"/>
      <c r="E328" s="11"/>
      <c r="F328" s="185"/>
      <c r="G328" t="s">
        <v>810</v>
      </c>
      <c r="J328" s="7"/>
      <c r="K328" s="7"/>
      <c r="O328" s="98"/>
    </row>
    <row r="329" spans="2:16" x14ac:dyDescent="0.25">
      <c r="B329" s="1" t="s">
        <v>811</v>
      </c>
      <c r="C329" s="296" t="s">
        <v>812</v>
      </c>
      <c r="D329" s="296"/>
      <c r="E329" s="296" t="s">
        <v>813</v>
      </c>
      <c r="F329" s="296"/>
      <c r="G329" s="14" t="s">
        <v>814</v>
      </c>
      <c r="J329" s="7"/>
      <c r="K329" s="7"/>
      <c r="O329" s="98" t="e">
        <f>SUM(((50*#REF!)+(100*#REF!))/2)/50</f>
        <v>#REF!</v>
      </c>
      <c r="P329" t="s">
        <v>815</v>
      </c>
    </row>
    <row r="330" spans="2:16" x14ac:dyDescent="0.25">
      <c r="B330" s="1" t="s">
        <v>816</v>
      </c>
      <c r="C330" s="283" t="s">
        <v>813</v>
      </c>
      <c r="D330" s="283"/>
      <c r="E330" s="283" t="s">
        <v>817</v>
      </c>
      <c r="F330" s="283"/>
      <c r="G330" s="14" t="s">
        <v>818</v>
      </c>
      <c r="J330" s="7"/>
      <c r="K330" s="7"/>
      <c r="O330" s="98"/>
    </row>
    <row r="331" spans="2:16" x14ac:dyDescent="0.25">
      <c r="B331" s="11" t="s">
        <v>819</v>
      </c>
      <c r="C331" s="230" t="s">
        <v>466</v>
      </c>
      <c r="D331" s="230"/>
      <c r="E331" s="230" t="s">
        <v>820</v>
      </c>
      <c r="F331" s="230"/>
      <c r="G331" s="14" t="s">
        <v>821</v>
      </c>
      <c r="H331" s="108"/>
      <c r="J331" s="7"/>
      <c r="K331" s="7"/>
      <c r="O331" s="99" t="e">
        <f>#REF!</f>
        <v>#REF!</v>
      </c>
    </row>
    <row r="332" spans="2:16" x14ac:dyDescent="0.25">
      <c r="B332" s="11"/>
      <c r="C332" s="185"/>
      <c r="D332" s="185"/>
      <c r="E332" s="185"/>
      <c r="F332" s="185"/>
      <c r="G332" s="14" t="s">
        <v>822</v>
      </c>
      <c r="H332" s="108"/>
      <c r="J332" s="7"/>
      <c r="K332" s="7"/>
      <c r="O332" s="99"/>
    </row>
    <row r="333" spans="2:16" x14ac:dyDescent="0.25">
      <c r="B333" s="32"/>
      <c r="C333" s="198"/>
      <c r="D333" s="198"/>
      <c r="E333" s="198"/>
      <c r="F333" s="198"/>
      <c r="G333" s="14" t="s">
        <v>823</v>
      </c>
      <c r="J333" s="7"/>
      <c r="K333" s="7"/>
      <c r="O333" s="98"/>
    </row>
    <row r="334" spans="2:16" x14ac:dyDescent="0.25">
      <c r="B334" s="217" t="s">
        <v>401</v>
      </c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9"/>
      <c r="O334" s="100" t="e">
        <f>SUM(O327:O331)</f>
        <v>#REF!</v>
      </c>
    </row>
    <row r="335" spans="2:16" x14ac:dyDescent="0.25">
      <c r="B335" s="3" t="s">
        <v>402</v>
      </c>
      <c r="C335" s="232" t="s">
        <v>403</v>
      </c>
      <c r="D335" s="232"/>
      <c r="E335" s="232" t="s">
        <v>467</v>
      </c>
      <c r="F335" s="232"/>
      <c r="G335" s="232" t="s">
        <v>405</v>
      </c>
      <c r="H335" s="232"/>
      <c r="I335" s="232" t="s">
        <v>406</v>
      </c>
      <c r="J335" s="232"/>
      <c r="K335" s="234" t="s">
        <v>468</v>
      </c>
      <c r="L335" s="235"/>
      <c r="M335" s="236"/>
      <c r="O335" s="98"/>
    </row>
    <row r="336" spans="2:16" ht="15.75" thickBot="1" x14ac:dyDescent="0.3">
      <c r="B336" s="5">
        <v>2.75</v>
      </c>
      <c r="C336" s="237">
        <v>3</v>
      </c>
      <c r="D336" s="238"/>
      <c r="E336" s="239"/>
      <c r="F336" s="238"/>
      <c r="G336" s="240"/>
      <c r="H336" s="240"/>
      <c r="I336" s="240"/>
      <c r="J336" s="240"/>
      <c r="K336" s="239"/>
      <c r="L336" s="237"/>
      <c r="M336" s="308"/>
    </row>
    <row r="337" spans="2:17" x14ac:dyDescent="0.25">
      <c r="B337" s="1"/>
      <c r="C337" s="1"/>
      <c r="D337" s="1"/>
      <c r="E337" s="1"/>
      <c r="F337" s="1"/>
      <c r="G337" s="1"/>
      <c r="H337" s="1"/>
    </row>
    <row r="338" spans="2:17" x14ac:dyDescent="0.25">
      <c r="B338" s="217" t="s">
        <v>408</v>
      </c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9"/>
    </row>
    <row r="339" spans="2:17" x14ac:dyDescent="0.25">
      <c r="B339" s="122" t="s">
        <v>763</v>
      </c>
      <c r="C339" s="220" t="s">
        <v>824</v>
      </c>
      <c r="D339" s="220"/>
      <c r="E339" s="221" t="s">
        <v>825</v>
      </c>
      <c r="F339" s="221"/>
      <c r="G339" s="221" t="s">
        <v>562</v>
      </c>
      <c r="H339" s="221"/>
      <c r="I339" s="220" t="s">
        <v>826</v>
      </c>
      <c r="J339" s="220"/>
      <c r="K339" s="220" t="s">
        <v>827</v>
      </c>
      <c r="L339" s="220"/>
      <c r="M339" s="222"/>
    </row>
    <row r="340" spans="2:17" x14ac:dyDescent="0.25">
      <c r="B340" s="123" t="s">
        <v>565</v>
      </c>
      <c r="C340" s="225" t="s">
        <v>714</v>
      </c>
      <c r="D340" s="226"/>
      <c r="E340" s="227" t="s">
        <v>583</v>
      </c>
      <c r="F340" s="227"/>
      <c r="G340" s="223" t="s">
        <v>752</v>
      </c>
      <c r="H340" s="223"/>
      <c r="I340" s="227" t="s">
        <v>828</v>
      </c>
      <c r="J340" s="227"/>
      <c r="K340" s="223" t="s">
        <v>585</v>
      </c>
      <c r="L340" s="223"/>
      <c r="M340" s="224"/>
    </row>
    <row r="341" spans="2:17" x14ac:dyDescent="0.25">
      <c r="B341" s="123" t="s">
        <v>829</v>
      </c>
      <c r="C341" s="225" t="s">
        <v>830</v>
      </c>
      <c r="D341" s="226"/>
      <c r="E341" s="227" t="s">
        <v>831</v>
      </c>
      <c r="F341" s="227"/>
      <c r="G341" s="223" t="s">
        <v>573</v>
      </c>
      <c r="H341" s="223"/>
      <c r="I341" s="223" t="s">
        <v>574</v>
      </c>
      <c r="J341" s="223"/>
      <c r="K341" s="223" t="s">
        <v>575</v>
      </c>
      <c r="L341" s="223"/>
      <c r="M341" s="224"/>
    </row>
    <row r="343" spans="2:17" ht="23.25" x14ac:dyDescent="0.35">
      <c r="B343" s="29" t="s">
        <v>334</v>
      </c>
      <c r="C343" s="229" t="s">
        <v>136</v>
      </c>
      <c r="D343" s="229"/>
      <c r="E343" s="229"/>
      <c r="F343" s="229"/>
      <c r="G343" s="229"/>
      <c r="H343" s="229"/>
      <c r="I343" s="229"/>
      <c r="J343" s="229"/>
    </row>
    <row r="344" spans="2:17" ht="18.75" x14ac:dyDescent="0.3">
      <c r="B344" s="12" t="s">
        <v>335</v>
      </c>
      <c r="C344" s="195" t="s">
        <v>336</v>
      </c>
      <c r="D344" s="228" t="s">
        <v>427</v>
      </c>
      <c r="E344" s="228"/>
      <c r="F344" s="1" t="s">
        <v>832</v>
      </c>
      <c r="L344" s="12" t="s">
        <v>339</v>
      </c>
      <c r="M344" s="6" t="s">
        <v>135</v>
      </c>
      <c r="O344" s="101" t="s">
        <v>481</v>
      </c>
    </row>
    <row r="345" spans="2:17" x14ac:dyDescent="0.25">
      <c r="F345" s="1" t="s">
        <v>833</v>
      </c>
    </row>
    <row r="346" spans="2:17" x14ac:dyDescent="0.25">
      <c r="B346" s="2" t="s">
        <v>341</v>
      </c>
      <c r="C346" s="228" t="s">
        <v>834</v>
      </c>
      <c r="D346" s="228"/>
      <c r="E346" s="228" t="s">
        <v>835</v>
      </c>
      <c r="F346" s="228"/>
      <c r="G346" s="228" t="s">
        <v>836</v>
      </c>
      <c r="H346" s="228"/>
      <c r="I346" s="228" t="s">
        <v>345</v>
      </c>
      <c r="J346" s="228"/>
      <c r="K346" s="228"/>
      <c r="L346" s="228"/>
      <c r="M346" s="228"/>
    </row>
    <row r="347" spans="2:17" x14ac:dyDescent="0.25">
      <c r="C347" s="250" t="s">
        <v>837</v>
      </c>
      <c r="D347" s="250"/>
      <c r="E347" s="250" t="s">
        <v>838</v>
      </c>
      <c r="F347" s="250"/>
      <c r="G347" s="250" t="s">
        <v>839</v>
      </c>
      <c r="H347" s="250"/>
      <c r="I347" s="7"/>
      <c r="J347" s="7"/>
      <c r="K347" s="7"/>
      <c r="L347" s="7"/>
      <c r="M347" s="7"/>
      <c r="O347" s="101" t="s">
        <v>840</v>
      </c>
      <c r="Q347" s="101" t="s">
        <v>841</v>
      </c>
    </row>
    <row r="348" spans="2:17" x14ac:dyDescent="0.25">
      <c r="B348" s="11" t="s">
        <v>842</v>
      </c>
      <c r="C348" s="284" t="s">
        <v>843</v>
      </c>
      <c r="D348" s="284"/>
      <c r="E348" s="252" t="s">
        <v>844</v>
      </c>
      <c r="F348" s="252"/>
      <c r="G348" s="252" t="s">
        <v>845</v>
      </c>
      <c r="H348" s="252"/>
      <c r="I348" s="14" t="s">
        <v>846</v>
      </c>
      <c r="J348" s="7"/>
      <c r="K348" s="7"/>
      <c r="L348" s="7"/>
      <c r="M348" s="7"/>
      <c r="O348" s="98" t="e">
        <f>SUM(10*#REF!)/122</f>
        <v>#REF!</v>
      </c>
      <c r="P348" s="98"/>
      <c r="Q348" s="98" t="e">
        <f>SUM(10*#REF!)/162</f>
        <v>#REF!</v>
      </c>
    </row>
    <row r="349" spans="2:17" x14ac:dyDescent="0.25">
      <c r="B349" s="11"/>
      <c r="C349" s="196"/>
      <c r="D349" s="196"/>
      <c r="E349" s="252"/>
      <c r="F349" s="252"/>
      <c r="G349" s="252"/>
      <c r="H349" s="252"/>
      <c r="I349" s="14" t="s">
        <v>847</v>
      </c>
      <c r="J349" s="7"/>
      <c r="K349" s="7"/>
      <c r="L349" s="7"/>
      <c r="M349" s="7"/>
      <c r="O349" s="98"/>
      <c r="P349" s="98"/>
      <c r="Q349" s="98"/>
    </row>
    <row r="350" spans="2:17" x14ac:dyDescent="0.25">
      <c r="B350" s="1" t="s">
        <v>848</v>
      </c>
      <c r="C350" s="285" t="s">
        <v>849</v>
      </c>
      <c r="D350" s="285"/>
      <c r="E350" s="285" t="s">
        <v>850</v>
      </c>
      <c r="F350" s="285"/>
      <c r="G350" s="283" t="s">
        <v>851</v>
      </c>
      <c r="H350" s="283"/>
      <c r="I350" s="14" t="s">
        <v>852</v>
      </c>
      <c r="J350" s="7"/>
      <c r="K350" s="7"/>
      <c r="L350" s="7"/>
      <c r="M350" s="7"/>
      <c r="O350" s="98" t="e">
        <f>SUM(30*#REF!)/122</f>
        <v>#REF!</v>
      </c>
      <c r="P350" s="98"/>
      <c r="Q350" s="98" t="e">
        <f>SUM(30*#REF!)/162</f>
        <v>#REF!</v>
      </c>
    </row>
    <row r="351" spans="2:17" x14ac:dyDescent="0.25">
      <c r="B351" s="1"/>
      <c r="C351" s="197"/>
      <c r="D351" s="197"/>
      <c r="E351" s="253"/>
      <c r="F351" s="253"/>
      <c r="G351" s="253"/>
      <c r="H351" s="253"/>
      <c r="I351" s="14" t="s">
        <v>853</v>
      </c>
      <c r="J351" s="7"/>
      <c r="K351" s="7"/>
      <c r="L351" s="7"/>
      <c r="M351" s="7"/>
      <c r="O351" s="98"/>
      <c r="P351" s="98"/>
      <c r="Q351" s="98"/>
    </row>
    <row r="352" spans="2:17" x14ac:dyDescent="0.25">
      <c r="B352" s="11" t="s">
        <v>652</v>
      </c>
      <c r="C352" s="284" t="s">
        <v>854</v>
      </c>
      <c r="D352" s="284"/>
      <c r="E352" s="284" t="s">
        <v>855</v>
      </c>
      <c r="F352" s="284"/>
      <c r="G352" s="252" t="s">
        <v>856</v>
      </c>
      <c r="H352" s="252"/>
      <c r="I352" s="14" t="s">
        <v>857</v>
      </c>
      <c r="J352" s="7"/>
      <c r="K352" s="7"/>
      <c r="L352" s="7"/>
      <c r="M352" s="7"/>
      <c r="O352" s="102" t="e">
        <f>SUM(8*#REF!)/122</f>
        <v>#REF!</v>
      </c>
      <c r="P352" s="98"/>
      <c r="Q352" s="102" t="e">
        <f>SUM(8*#REF!)/162</f>
        <v>#REF!</v>
      </c>
    </row>
    <row r="353" spans="2:17" x14ac:dyDescent="0.25">
      <c r="B353" s="11"/>
      <c r="C353" s="196"/>
      <c r="D353" s="196"/>
      <c r="E353" s="252"/>
      <c r="F353" s="252"/>
      <c r="G353" s="252"/>
      <c r="H353" s="252"/>
      <c r="I353" s="14" t="s">
        <v>858</v>
      </c>
      <c r="J353" s="7"/>
      <c r="K353" s="7"/>
      <c r="L353" s="7"/>
      <c r="M353" s="7"/>
      <c r="O353" s="98"/>
      <c r="P353" s="98"/>
      <c r="Q353" s="98"/>
    </row>
    <row r="354" spans="2:17" x14ac:dyDescent="0.25">
      <c r="B354" s="1" t="s">
        <v>859</v>
      </c>
      <c r="C354" s="285" t="s">
        <v>860</v>
      </c>
      <c r="D354" s="285"/>
      <c r="E354" s="285" t="s">
        <v>861</v>
      </c>
      <c r="F354" s="285"/>
      <c r="G354" s="253" t="s">
        <v>862</v>
      </c>
      <c r="H354" s="253"/>
      <c r="I354" s="14" t="s">
        <v>863</v>
      </c>
      <c r="J354" s="7"/>
      <c r="K354" s="7"/>
      <c r="L354" s="7"/>
      <c r="M354" s="7"/>
      <c r="O354" s="98" t="e">
        <f>SUM(1.75*#REF!)/122</f>
        <v>#REF!</v>
      </c>
      <c r="P354" s="98"/>
      <c r="Q354" s="98" t="e">
        <f>SUM(1.75*#REF!)/162</f>
        <v>#REF!</v>
      </c>
    </row>
    <row r="355" spans="2:17" x14ac:dyDescent="0.25">
      <c r="B355" s="1"/>
      <c r="C355" s="197"/>
      <c r="D355" s="197"/>
      <c r="E355" s="253"/>
      <c r="F355" s="253"/>
      <c r="G355" s="253"/>
      <c r="H355" s="253"/>
      <c r="I355" s="14" t="s">
        <v>864</v>
      </c>
      <c r="J355" s="7"/>
      <c r="K355" s="7"/>
      <c r="L355" s="7"/>
      <c r="M355" s="7"/>
      <c r="O355" s="98"/>
      <c r="P355" s="98"/>
      <c r="Q355" s="98"/>
    </row>
    <row r="356" spans="2:17" x14ac:dyDescent="0.25">
      <c r="B356" s="11" t="s">
        <v>865</v>
      </c>
      <c r="C356" s="284" t="s">
        <v>654</v>
      </c>
      <c r="D356" s="284"/>
      <c r="E356" s="252" t="s">
        <v>866</v>
      </c>
      <c r="F356" s="252"/>
      <c r="G356" s="252" t="s">
        <v>867</v>
      </c>
      <c r="H356" s="252"/>
      <c r="I356" s="14" t="s">
        <v>868</v>
      </c>
      <c r="K356" s="7"/>
      <c r="L356" s="7"/>
      <c r="M356" s="7"/>
      <c r="O356" s="98" t="e">
        <f>SUM(7*#REF!)/122</f>
        <v>#REF!</v>
      </c>
      <c r="P356" s="98"/>
      <c r="Q356" s="98" t="e">
        <f>SUM(7*#REF!)/162</f>
        <v>#REF!</v>
      </c>
    </row>
    <row r="357" spans="2:17" x14ac:dyDescent="0.25">
      <c r="B357" s="11" t="s">
        <v>869</v>
      </c>
      <c r="C357" s="196"/>
      <c r="D357" s="196"/>
      <c r="E357" s="252"/>
      <c r="F357" s="252"/>
      <c r="G357" s="252"/>
      <c r="H357" s="252"/>
      <c r="I357" s="14" t="s">
        <v>870</v>
      </c>
      <c r="J357" s="7"/>
      <c r="K357" s="7"/>
      <c r="L357" s="7"/>
      <c r="M357" s="7"/>
      <c r="O357" s="98"/>
      <c r="P357" s="98"/>
      <c r="Q357" s="98"/>
    </row>
    <row r="358" spans="2:17" x14ac:dyDescent="0.25">
      <c r="B358" s="1" t="s">
        <v>871</v>
      </c>
      <c r="C358" s="285" t="s">
        <v>872</v>
      </c>
      <c r="D358" s="285"/>
      <c r="E358" s="253" t="s">
        <v>873</v>
      </c>
      <c r="F358" s="253"/>
      <c r="G358" s="253" t="s">
        <v>874</v>
      </c>
      <c r="H358" s="253"/>
      <c r="I358" s="14" t="s">
        <v>875</v>
      </c>
      <c r="J358" s="14"/>
      <c r="K358" s="7"/>
      <c r="L358" s="7"/>
      <c r="M358" s="7"/>
      <c r="O358" s="98" t="e">
        <f>SUM(8.5*#REF!)/122</f>
        <v>#REF!</v>
      </c>
      <c r="P358" s="98"/>
      <c r="Q358" s="98" t="e">
        <f>SUM(8.5*#REF!)/162</f>
        <v>#REF!</v>
      </c>
    </row>
    <row r="359" spans="2:17" x14ac:dyDescent="0.25">
      <c r="B359" s="1"/>
      <c r="C359" s="197"/>
      <c r="D359" s="197"/>
      <c r="E359" s="253"/>
      <c r="F359" s="253"/>
      <c r="G359" s="253"/>
      <c r="H359" s="253"/>
      <c r="I359" s="14" t="s">
        <v>876</v>
      </c>
      <c r="J359" s="14"/>
      <c r="K359" s="7"/>
      <c r="L359" s="7"/>
      <c r="M359" s="7"/>
      <c r="O359" s="98"/>
      <c r="P359" s="98"/>
      <c r="Q359" s="98"/>
    </row>
    <row r="360" spans="2:17" x14ac:dyDescent="0.25">
      <c r="B360" s="11" t="s">
        <v>518</v>
      </c>
      <c r="C360" s="309" t="s">
        <v>549</v>
      </c>
      <c r="D360" s="309"/>
      <c r="E360" s="252" t="s">
        <v>661</v>
      </c>
      <c r="F360" s="252"/>
      <c r="G360" s="252" t="s">
        <v>491</v>
      </c>
      <c r="H360" s="252"/>
      <c r="I360" s="14" t="s">
        <v>877</v>
      </c>
      <c r="K360" s="7"/>
      <c r="L360" s="7"/>
      <c r="M360" s="7"/>
      <c r="O360" s="103" t="e">
        <f>SUM(4*#REF!)/122</f>
        <v>#REF!</v>
      </c>
      <c r="P360" s="98"/>
      <c r="Q360" s="103" t="e">
        <f>SUM(4*#REF!)/162</f>
        <v>#REF!</v>
      </c>
    </row>
    <row r="361" spans="2:17" x14ac:dyDescent="0.25">
      <c r="B361" s="11"/>
      <c r="C361" s="196"/>
      <c r="D361" s="196"/>
      <c r="E361" s="252"/>
      <c r="F361" s="252"/>
      <c r="G361" s="252"/>
      <c r="H361" s="252"/>
      <c r="I361" s="14" t="s">
        <v>878</v>
      </c>
      <c r="O361" s="102"/>
      <c r="P361" s="98"/>
      <c r="Q361" s="102"/>
    </row>
    <row r="362" spans="2:17" x14ac:dyDescent="0.25">
      <c r="B362" s="1" t="s">
        <v>879</v>
      </c>
      <c r="C362" s="285" t="s">
        <v>880</v>
      </c>
      <c r="D362" s="285"/>
      <c r="E362" s="253" t="s">
        <v>881</v>
      </c>
      <c r="F362" s="253"/>
      <c r="G362" s="253" t="s">
        <v>882</v>
      </c>
      <c r="H362" s="253"/>
      <c r="I362" s="14" t="s">
        <v>883</v>
      </c>
      <c r="O362" s="102" t="e">
        <f>SUM(1.5*#REF!)/122</f>
        <v>#REF!</v>
      </c>
      <c r="P362" s="98"/>
      <c r="Q362" s="102" t="e">
        <f>SUM(1.5*#REF!)/162</f>
        <v>#REF!</v>
      </c>
    </row>
    <row r="363" spans="2:17" x14ac:dyDescent="0.25">
      <c r="B363" s="1"/>
      <c r="C363" s="197"/>
      <c r="D363" s="197"/>
      <c r="E363" s="253"/>
      <c r="F363" s="253"/>
      <c r="G363" s="253"/>
      <c r="H363" s="253"/>
      <c r="I363" s="14" t="s">
        <v>884</v>
      </c>
      <c r="O363" s="98"/>
      <c r="P363" s="98"/>
      <c r="Q363" s="98"/>
    </row>
    <row r="364" spans="2:17" x14ac:dyDescent="0.25">
      <c r="B364" s="11" t="s">
        <v>397</v>
      </c>
      <c r="C364" s="284" t="s">
        <v>885</v>
      </c>
      <c r="D364" s="284"/>
      <c r="E364" s="252" t="s">
        <v>886</v>
      </c>
      <c r="F364" s="252"/>
      <c r="G364" s="252" t="s">
        <v>887</v>
      </c>
      <c r="H364" s="252"/>
      <c r="I364" s="14" t="s">
        <v>612</v>
      </c>
      <c r="O364" s="98">
        <v>0</v>
      </c>
      <c r="P364" s="98"/>
      <c r="Q364" s="98">
        <v>0</v>
      </c>
    </row>
    <row r="365" spans="2:17" x14ac:dyDescent="0.25">
      <c r="B365" s="11"/>
      <c r="C365" s="196"/>
      <c r="D365" s="196"/>
      <c r="E365" s="252"/>
      <c r="F365" s="252"/>
      <c r="G365" s="252"/>
      <c r="H365" s="252"/>
      <c r="O365" s="98"/>
      <c r="P365" s="98"/>
      <c r="Q365" s="98"/>
    </row>
    <row r="366" spans="2:17" x14ac:dyDescent="0.25">
      <c r="B366" s="1" t="s">
        <v>888</v>
      </c>
      <c r="C366" s="285" t="s">
        <v>549</v>
      </c>
      <c r="D366" s="285"/>
      <c r="E366" s="253" t="s">
        <v>661</v>
      </c>
      <c r="F366" s="253"/>
      <c r="G366" s="253" t="s">
        <v>491</v>
      </c>
      <c r="H366" s="253"/>
      <c r="O366" s="102" t="e">
        <f>SUM(4*#REF!)/122</f>
        <v>#REF!</v>
      </c>
      <c r="P366" s="98"/>
      <c r="Q366" s="102" t="e">
        <f>SUM(4*#REF!)/162</f>
        <v>#REF!</v>
      </c>
    </row>
    <row r="367" spans="2:17" x14ac:dyDescent="0.25">
      <c r="B367" s="1"/>
      <c r="C367" s="197"/>
      <c r="D367" s="197"/>
      <c r="E367" s="253"/>
      <c r="F367" s="253"/>
      <c r="G367" s="253"/>
      <c r="H367" s="253"/>
      <c r="O367" s="102"/>
      <c r="P367" s="98"/>
      <c r="Q367" s="102"/>
    </row>
    <row r="368" spans="2:17" x14ac:dyDescent="0.25">
      <c r="B368" s="11" t="s">
        <v>889</v>
      </c>
      <c r="C368" s="284" t="s">
        <v>486</v>
      </c>
      <c r="D368" s="284"/>
      <c r="E368" s="252" t="s">
        <v>890</v>
      </c>
      <c r="F368" s="252"/>
      <c r="G368" s="252" t="s">
        <v>891</v>
      </c>
      <c r="H368" s="252"/>
      <c r="O368" s="105" t="e">
        <f>SUM(1*#REF!)/122</f>
        <v>#REF!</v>
      </c>
      <c r="P368" s="98"/>
      <c r="Q368" s="105" t="e">
        <f>SUM(1*#REF!)/162</f>
        <v>#REF!</v>
      </c>
    </row>
    <row r="369" spans="2:17" ht="15.75" thickBot="1" x14ac:dyDescent="0.3">
      <c r="B369" s="11"/>
      <c r="C369" s="23"/>
      <c r="D369" s="196"/>
      <c r="E369" s="188"/>
      <c r="F369" s="188"/>
      <c r="G369" s="188"/>
      <c r="H369" s="188"/>
      <c r="O369" s="98"/>
      <c r="P369" s="98"/>
      <c r="Q369" s="98"/>
    </row>
    <row r="370" spans="2:17" x14ac:dyDescent="0.25">
      <c r="B370" s="217" t="s">
        <v>892</v>
      </c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9"/>
      <c r="O370" s="100" t="e">
        <f>SUM(O348:O368)</f>
        <v>#REF!</v>
      </c>
      <c r="P370" s="98"/>
      <c r="Q370" s="100" t="e">
        <f>SUM(Q348:Q368)</f>
        <v>#REF!</v>
      </c>
    </row>
    <row r="371" spans="2:17" x14ac:dyDescent="0.25">
      <c r="B371" s="3" t="s">
        <v>402</v>
      </c>
      <c r="C371" s="232" t="s">
        <v>403</v>
      </c>
      <c r="D371" s="232"/>
      <c r="E371" s="232" t="s">
        <v>467</v>
      </c>
      <c r="F371" s="232"/>
      <c r="G371" s="232" t="s">
        <v>405</v>
      </c>
      <c r="H371" s="232"/>
      <c r="I371" s="232" t="s">
        <v>406</v>
      </c>
      <c r="J371" s="232"/>
      <c r="K371" s="234" t="s">
        <v>468</v>
      </c>
      <c r="L371" s="235"/>
      <c r="M371" s="236"/>
    </row>
    <row r="372" spans="2:17" x14ac:dyDescent="0.25">
      <c r="B372" s="5">
        <v>2</v>
      </c>
      <c r="C372" s="237">
        <v>2.25</v>
      </c>
      <c r="D372" s="238"/>
      <c r="E372" s="239"/>
      <c r="F372" s="238"/>
      <c r="G372" s="240"/>
      <c r="H372" s="240"/>
      <c r="I372" s="241"/>
      <c r="J372" s="241"/>
      <c r="K372" s="242"/>
      <c r="L372" s="243"/>
      <c r="M372" s="244"/>
    </row>
    <row r="373" spans="2:17" x14ac:dyDescent="0.25">
      <c r="B373" s="134"/>
      <c r="C373" s="134"/>
      <c r="D373" s="134"/>
      <c r="E373" s="134"/>
      <c r="F373" s="134"/>
      <c r="G373" s="134"/>
      <c r="H373" s="134"/>
      <c r="I373" s="135"/>
      <c r="J373" s="135"/>
      <c r="K373" s="135"/>
      <c r="L373" s="135"/>
      <c r="M373" s="135"/>
    </row>
    <row r="374" spans="2:17" x14ac:dyDescent="0.25">
      <c r="B374" s="217" t="s">
        <v>893</v>
      </c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9"/>
    </row>
    <row r="375" spans="2:17" x14ac:dyDescent="0.25">
      <c r="B375" s="122" t="s">
        <v>894</v>
      </c>
      <c r="C375" s="220" t="s">
        <v>895</v>
      </c>
      <c r="D375" s="220"/>
      <c r="E375" s="221" t="s">
        <v>896</v>
      </c>
      <c r="F375" s="221"/>
      <c r="G375" s="221" t="s">
        <v>897</v>
      </c>
      <c r="H375" s="221"/>
      <c r="I375" s="220" t="s">
        <v>898</v>
      </c>
      <c r="J375" s="220"/>
      <c r="K375" s="220" t="s">
        <v>899</v>
      </c>
      <c r="L375" s="220"/>
      <c r="M375" s="222"/>
    </row>
    <row r="376" spans="2:17" x14ac:dyDescent="0.25">
      <c r="B376" s="123" t="s">
        <v>900</v>
      </c>
      <c r="C376" s="225" t="s">
        <v>901</v>
      </c>
      <c r="D376" s="226"/>
      <c r="E376" s="227" t="s">
        <v>902</v>
      </c>
      <c r="F376" s="227"/>
      <c r="G376" s="223" t="s">
        <v>903</v>
      </c>
      <c r="H376" s="223"/>
      <c r="I376" s="227" t="s">
        <v>569</v>
      </c>
      <c r="J376" s="227"/>
      <c r="K376" s="223" t="s">
        <v>904</v>
      </c>
      <c r="L376" s="223"/>
      <c r="M376" s="224"/>
    </row>
    <row r="377" spans="2:17" x14ac:dyDescent="0.25">
      <c r="B377" s="123" t="s">
        <v>905</v>
      </c>
      <c r="C377" s="225" t="s">
        <v>906</v>
      </c>
      <c r="D377" s="226"/>
      <c r="E377" s="227" t="s">
        <v>907</v>
      </c>
      <c r="F377" s="227"/>
      <c r="G377" s="223" t="s">
        <v>573</v>
      </c>
      <c r="H377" s="223"/>
      <c r="I377" s="223" t="s">
        <v>574</v>
      </c>
      <c r="J377" s="223"/>
      <c r="K377" s="223" t="s">
        <v>575</v>
      </c>
      <c r="L377" s="223"/>
      <c r="M377" s="224"/>
    </row>
    <row r="378" spans="2:17" x14ac:dyDescent="0.25">
      <c r="B378" s="134"/>
      <c r="C378" s="134"/>
      <c r="D378" s="134"/>
      <c r="E378" s="134"/>
      <c r="F378" s="134"/>
      <c r="G378" s="134"/>
      <c r="H378" s="134"/>
      <c r="I378" s="135"/>
      <c r="J378" s="135"/>
      <c r="K378" s="135"/>
      <c r="L378" s="135"/>
      <c r="M378" s="135"/>
    </row>
    <row r="379" spans="2:17" x14ac:dyDescent="0.25">
      <c r="B379" s="217" t="s">
        <v>908</v>
      </c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9"/>
    </row>
    <row r="380" spans="2:17" x14ac:dyDescent="0.25">
      <c r="B380" s="3" t="s">
        <v>402</v>
      </c>
      <c r="C380" s="232" t="s">
        <v>403</v>
      </c>
      <c r="D380" s="232"/>
      <c r="E380" s="232" t="s">
        <v>467</v>
      </c>
      <c r="F380" s="232"/>
      <c r="G380" s="232" t="s">
        <v>405</v>
      </c>
      <c r="H380" s="232"/>
      <c r="I380" s="232" t="s">
        <v>406</v>
      </c>
      <c r="J380" s="232"/>
      <c r="K380" s="234" t="s">
        <v>468</v>
      </c>
      <c r="L380" s="235"/>
      <c r="M380" s="236"/>
    </row>
    <row r="381" spans="2:17" x14ac:dyDescent="0.25">
      <c r="B381" s="5">
        <v>1.5</v>
      </c>
      <c r="C381" s="237">
        <v>1.75</v>
      </c>
      <c r="D381" s="238"/>
      <c r="E381" s="239"/>
      <c r="F381" s="238"/>
      <c r="G381" s="240"/>
      <c r="H381" s="240"/>
      <c r="I381" s="241"/>
      <c r="J381" s="241"/>
      <c r="K381" s="242"/>
      <c r="L381" s="243"/>
      <c r="M381" s="244"/>
    </row>
    <row r="382" spans="2:17" x14ac:dyDescent="0.25">
      <c r="B382" s="134"/>
      <c r="C382" s="134"/>
      <c r="D382" s="134"/>
      <c r="E382" s="134"/>
      <c r="F382" s="134"/>
      <c r="G382" s="134"/>
      <c r="H382" s="134"/>
      <c r="I382" s="135"/>
      <c r="J382" s="135"/>
      <c r="K382" s="135"/>
      <c r="L382" s="135"/>
      <c r="M382" s="135"/>
    </row>
    <row r="383" spans="2:17" x14ac:dyDescent="0.25">
      <c r="B383" s="217" t="s">
        <v>909</v>
      </c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9"/>
    </row>
    <row r="384" spans="2:17" x14ac:dyDescent="0.25">
      <c r="B384" s="122" t="s">
        <v>910</v>
      </c>
      <c r="C384" s="220" t="s">
        <v>911</v>
      </c>
      <c r="D384" s="220"/>
      <c r="E384" s="221" t="s">
        <v>748</v>
      </c>
      <c r="F384" s="221"/>
      <c r="G384" s="221" t="s">
        <v>912</v>
      </c>
      <c r="H384" s="221"/>
      <c r="I384" s="220" t="s">
        <v>913</v>
      </c>
      <c r="J384" s="220"/>
      <c r="K384" s="220" t="s">
        <v>914</v>
      </c>
      <c r="L384" s="220"/>
      <c r="M384" s="222"/>
    </row>
    <row r="385" spans="2:15" x14ac:dyDescent="0.25">
      <c r="B385" s="123" t="s">
        <v>915</v>
      </c>
      <c r="C385" s="225" t="s">
        <v>916</v>
      </c>
      <c r="D385" s="226"/>
      <c r="E385" s="227" t="s">
        <v>917</v>
      </c>
      <c r="F385" s="227"/>
      <c r="G385" s="223" t="s">
        <v>568</v>
      </c>
      <c r="H385" s="223"/>
      <c r="I385" s="227" t="s">
        <v>569</v>
      </c>
      <c r="J385" s="227"/>
      <c r="K385" s="223" t="s">
        <v>918</v>
      </c>
      <c r="L385" s="223"/>
      <c r="M385" s="224"/>
    </row>
    <row r="386" spans="2:15" x14ac:dyDescent="0.25">
      <c r="B386" s="123" t="s">
        <v>919</v>
      </c>
      <c r="C386" s="225" t="s">
        <v>906</v>
      </c>
      <c r="D386" s="226"/>
      <c r="E386" s="227" t="s">
        <v>920</v>
      </c>
      <c r="F386" s="227"/>
      <c r="G386" s="223" t="s">
        <v>573</v>
      </c>
      <c r="H386" s="223"/>
      <c r="I386" s="223" t="s">
        <v>574</v>
      </c>
      <c r="J386" s="223"/>
      <c r="K386" s="223" t="s">
        <v>575</v>
      </c>
      <c r="L386" s="223"/>
      <c r="M386" s="224"/>
    </row>
    <row r="388" spans="2:15" ht="23.25" x14ac:dyDescent="0.35">
      <c r="B388" s="29" t="s">
        <v>334</v>
      </c>
      <c r="C388" s="229" t="s">
        <v>90</v>
      </c>
      <c r="D388" s="229"/>
      <c r="E388" s="229"/>
      <c r="F388" s="229"/>
      <c r="G388" s="229"/>
      <c r="H388" s="229"/>
      <c r="I388" s="229"/>
      <c r="J388" s="229"/>
      <c r="K388" s="229"/>
      <c r="L388" s="229"/>
      <c r="O388" s="101" t="s">
        <v>481</v>
      </c>
    </row>
    <row r="389" spans="2:15" ht="18.75" x14ac:dyDescent="0.3">
      <c r="B389" s="12" t="s">
        <v>335</v>
      </c>
      <c r="C389" s="195" t="s">
        <v>336</v>
      </c>
      <c r="D389" s="228" t="s">
        <v>427</v>
      </c>
      <c r="E389" s="228"/>
      <c r="F389" s="1" t="s">
        <v>804</v>
      </c>
      <c r="L389" s="12" t="s">
        <v>339</v>
      </c>
      <c r="M389" s="6" t="s">
        <v>89</v>
      </c>
    </row>
    <row r="391" spans="2:15" x14ac:dyDescent="0.25">
      <c r="B391" s="2" t="s">
        <v>341</v>
      </c>
      <c r="C391" s="250" t="s">
        <v>342</v>
      </c>
      <c r="D391" s="250"/>
      <c r="E391" s="228" t="s">
        <v>345</v>
      </c>
      <c r="F391" s="228"/>
      <c r="G391" s="228"/>
      <c r="H391" s="228"/>
      <c r="I391" s="228"/>
      <c r="O391" s="101" t="s">
        <v>541</v>
      </c>
    </row>
    <row r="392" spans="2:15" x14ac:dyDescent="0.25">
      <c r="C392" s="251"/>
      <c r="D392" s="251"/>
      <c r="E392" s="7"/>
      <c r="F392" s="7"/>
      <c r="G392" s="7"/>
      <c r="H392" s="7"/>
      <c r="I392" s="7"/>
    </row>
    <row r="393" spans="2:15" x14ac:dyDescent="0.25">
      <c r="B393" s="11" t="s">
        <v>921</v>
      </c>
      <c r="C393" s="230" t="s">
        <v>545</v>
      </c>
      <c r="D393" s="230"/>
      <c r="E393" s="14" t="s">
        <v>922</v>
      </c>
      <c r="F393" s="7"/>
      <c r="G393" s="7"/>
      <c r="H393" s="7"/>
      <c r="I393" s="7"/>
      <c r="O393" s="98" t="e">
        <f>SUM(#REF!+#REF!)/2</f>
        <v>#REF!</v>
      </c>
    </row>
    <row r="394" spans="2:15" x14ac:dyDescent="0.25">
      <c r="B394" s="11"/>
      <c r="C394" s="185"/>
      <c r="D394" s="185"/>
      <c r="E394" s="14" t="s">
        <v>923</v>
      </c>
      <c r="F394" s="7"/>
      <c r="G394" s="7"/>
      <c r="H394" s="7"/>
      <c r="I394" s="7"/>
      <c r="O394" s="98"/>
    </row>
    <row r="395" spans="2:15" x14ac:dyDescent="0.25">
      <c r="B395" s="1" t="s">
        <v>464</v>
      </c>
      <c r="C395" s="283" t="s">
        <v>545</v>
      </c>
      <c r="D395" s="283"/>
      <c r="E395" s="14" t="s">
        <v>924</v>
      </c>
      <c r="F395" s="7"/>
      <c r="G395" s="7"/>
      <c r="H395" s="7"/>
      <c r="I395" s="7"/>
      <c r="O395" s="99" t="e">
        <f>#REF!</f>
        <v>#REF!</v>
      </c>
    </row>
    <row r="396" spans="2:15" x14ac:dyDescent="0.25">
      <c r="B396" s="1"/>
      <c r="C396" s="195"/>
      <c r="D396" s="195"/>
      <c r="E396" s="14" t="s">
        <v>925</v>
      </c>
      <c r="F396" s="7"/>
      <c r="G396" s="7"/>
      <c r="H396" s="7"/>
      <c r="I396" s="7"/>
      <c r="O396" s="98"/>
    </row>
    <row r="397" spans="2:15" x14ac:dyDescent="0.25">
      <c r="B397" s="32"/>
      <c r="C397" s="288"/>
      <c r="D397" s="288"/>
      <c r="E397" s="14" t="s">
        <v>926</v>
      </c>
      <c r="F397" s="7"/>
      <c r="G397" s="7"/>
      <c r="H397" s="7"/>
      <c r="I397" s="7"/>
      <c r="O397" s="100" t="e">
        <f>SUM(O393:O395)</f>
        <v>#REF!</v>
      </c>
    </row>
    <row r="398" spans="2:15" x14ac:dyDescent="0.25">
      <c r="B398" s="32"/>
      <c r="C398" s="198"/>
      <c r="D398" s="198"/>
      <c r="E398" s="14" t="s">
        <v>927</v>
      </c>
      <c r="F398" s="7"/>
      <c r="G398" s="7"/>
      <c r="H398" s="7"/>
      <c r="I398" s="7"/>
      <c r="O398" s="98"/>
    </row>
    <row r="399" spans="2:15" x14ac:dyDescent="0.25">
      <c r="B399" s="1"/>
      <c r="C399" s="283"/>
      <c r="D399" s="283"/>
      <c r="E399" s="14" t="s">
        <v>928</v>
      </c>
      <c r="F399" s="7"/>
      <c r="G399" s="7"/>
      <c r="H399" s="7"/>
      <c r="I399" s="7"/>
    </row>
    <row r="400" spans="2:15" x14ac:dyDescent="0.25">
      <c r="B400" s="1"/>
      <c r="C400" s="197"/>
      <c r="D400" s="197"/>
      <c r="E400" s="14" t="s">
        <v>612</v>
      </c>
      <c r="F400" s="7"/>
      <c r="G400" s="7"/>
      <c r="H400" s="7"/>
      <c r="I400" s="7"/>
    </row>
    <row r="401" spans="2:13" x14ac:dyDescent="0.25">
      <c r="B401" s="217" t="s">
        <v>929</v>
      </c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9"/>
    </row>
    <row r="402" spans="2:13" x14ac:dyDescent="0.25">
      <c r="B402" s="3" t="s">
        <v>402</v>
      </c>
      <c r="C402" s="232" t="s">
        <v>403</v>
      </c>
      <c r="D402" s="232"/>
      <c r="E402" s="232" t="s">
        <v>467</v>
      </c>
      <c r="F402" s="232"/>
      <c r="G402" s="232" t="s">
        <v>405</v>
      </c>
      <c r="H402" s="232"/>
      <c r="I402" s="232" t="s">
        <v>406</v>
      </c>
      <c r="J402" s="232"/>
      <c r="K402" s="234" t="s">
        <v>468</v>
      </c>
      <c r="L402" s="235"/>
      <c r="M402" s="236"/>
    </row>
    <row r="403" spans="2:13" x14ac:dyDescent="0.25">
      <c r="B403" s="5">
        <v>2</v>
      </c>
      <c r="C403" s="237">
        <v>3</v>
      </c>
      <c r="D403" s="238"/>
      <c r="E403" s="239"/>
      <c r="F403" s="238"/>
      <c r="G403" s="240"/>
      <c r="H403" s="240"/>
      <c r="I403" s="241"/>
      <c r="J403" s="241"/>
      <c r="K403" s="242"/>
      <c r="L403" s="243"/>
      <c r="M403" s="244"/>
    </row>
    <row r="404" spans="2:13" x14ac:dyDescent="0.25">
      <c r="B404" s="1"/>
      <c r="C404" s="1"/>
      <c r="D404" s="1"/>
      <c r="E404" s="1"/>
      <c r="F404" s="1"/>
      <c r="G404" s="1"/>
      <c r="H404" s="1"/>
    </row>
    <row r="405" spans="2:13" x14ac:dyDescent="0.25">
      <c r="B405" s="217" t="s">
        <v>408</v>
      </c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9"/>
    </row>
    <row r="406" spans="2:13" x14ac:dyDescent="0.25">
      <c r="B406" s="122" t="s">
        <v>930</v>
      </c>
      <c r="C406" s="220" t="s">
        <v>931</v>
      </c>
      <c r="D406" s="220"/>
      <c r="E406" s="221" t="s">
        <v>932</v>
      </c>
      <c r="F406" s="221"/>
      <c r="G406" s="221" t="s">
        <v>562</v>
      </c>
      <c r="H406" s="221"/>
      <c r="I406" s="220" t="s">
        <v>933</v>
      </c>
      <c r="J406" s="220"/>
      <c r="K406" s="220" t="s">
        <v>934</v>
      </c>
      <c r="L406" s="220"/>
      <c r="M406" s="222"/>
    </row>
    <row r="407" spans="2:13" x14ac:dyDescent="0.25">
      <c r="B407" s="123" t="s">
        <v>935</v>
      </c>
      <c r="C407" s="225" t="s">
        <v>582</v>
      </c>
      <c r="D407" s="226"/>
      <c r="E407" s="227" t="s">
        <v>936</v>
      </c>
      <c r="F407" s="227"/>
      <c r="G407" s="223" t="s">
        <v>584</v>
      </c>
      <c r="H407" s="223"/>
      <c r="I407" s="227" t="s">
        <v>937</v>
      </c>
      <c r="J407" s="227"/>
      <c r="K407" s="223" t="s">
        <v>938</v>
      </c>
      <c r="L407" s="223"/>
      <c r="M407" s="224"/>
    </row>
    <row r="408" spans="2:13" x14ac:dyDescent="0.25">
      <c r="B408" s="123" t="s">
        <v>939</v>
      </c>
      <c r="C408" s="225" t="s">
        <v>572</v>
      </c>
      <c r="D408" s="226"/>
      <c r="E408" s="227" t="s">
        <v>423</v>
      </c>
      <c r="F408" s="227"/>
      <c r="G408" s="223" t="s">
        <v>573</v>
      </c>
      <c r="H408" s="223"/>
      <c r="I408" s="223" t="s">
        <v>574</v>
      </c>
      <c r="J408" s="223"/>
      <c r="K408" s="223" t="s">
        <v>575</v>
      </c>
      <c r="L408" s="223"/>
      <c r="M408" s="224"/>
    </row>
    <row r="409" spans="2:13" x14ac:dyDescent="0.25">
      <c r="B409" s="1"/>
      <c r="C409" s="197"/>
      <c r="D409" s="197"/>
      <c r="E409" s="14"/>
      <c r="F409" s="7"/>
      <c r="G409" s="7"/>
      <c r="H409" s="7"/>
      <c r="I409" s="7"/>
    </row>
    <row r="410" spans="2:13" x14ac:dyDescent="0.25">
      <c r="B410" s="217" t="s">
        <v>940</v>
      </c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9"/>
    </row>
    <row r="411" spans="2:13" x14ac:dyDescent="0.25">
      <c r="B411" s="3" t="s">
        <v>402</v>
      </c>
      <c r="C411" s="232" t="s">
        <v>403</v>
      </c>
      <c r="D411" s="232"/>
      <c r="E411" s="232" t="s">
        <v>467</v>
      </c>
      <c r="F411" s="232"/>
      <c r="G411" s="232" t="s">
        <v>405</v>
      </c>
      <c r="H411" s="232"/>
      <c r="I411" s="232" t="s">
        <v>406</v>
      </c>
      <c r="J411" s="232"/>
      <c r="K411" s="234" t="s">
        <v>468</v>
      </c>
      <c r="L411" s="235"/>
      <c r="M411" s="236"/>
    </row>
    <row r="412" spans="2:13" ht="15.75" thickBot="1" x14ac:dyDescent="0.3">
      <c r="B412" s="5">
        <v>2</v>
      </c>
      <c r="C412" s="237">
        <v>3</v>
      </c>
      <c r="D412" s="238"/>
      <c r="E412" s="239"/>
      <c r="F412" s="238"/>
      <c r="G412" s="240"/>
      <c r="H412" s="240"/>
      <c r="I412" s="241"/>
      <c r="J412" s="241"/>
      <c r="K412" s="242"/>
      <c r="L412" s="243"/>
      <c r="M412" s="244"/>
    </row>
    <row r="413" spans="2:13" x14ac:dyDescent="0.25">
      <c r="B413" s="1"/>
      <c r="C413" s="1"/>
      <c r="D413" s="1"/>
      <c r="E413" s="1"/>
      <c r="F413" s="1"/>
      <c r="G413" s="1"/>
      <c r="H413" s="1"/>
    </row>
    <row r="414" spans="2:13" x14ac:dyDescent="0.25">
      <c r="B414" s="217" t="s">
        <v>408</v>
      </c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9"/>
    </row>
    <row r="415" spans="2:13" x14ac:dyDescent="0.25">
      <c r="B415" s="122" t="s">
        <v>941</v>
      </c>
      <c r="C415" s="220" t="s">
        <v>824</v>
      </c>
      <c r="D415" s="220"/>
      <c r="E415" s="221" t="s">
        <v>942</v>
      </c>
      <c r="F415" s="221"/>
      <c r="G415" s="221" t="s">
        <v>943</v>
      </c>
      <c r="H415" s="221"/>
      <c r="I415" s="220" t="s">
        <v>944</v>
      </c>
      <c r="J415" s="220"/>
      <c r="K415" s="220" t="s">
        <v>945</v>
      </c>
      <c r="L415" s="220"/>
      <c r="M415" s="222"/>
    </row>
    <row r="416" spans="2:13" x14ac:dyDescent="0.25">
      <c r="B416" s="123" t="s">
        <v>946</v>
      </c>
      <c r="C416" s="225" t="s">
        <v>947</v>
      </c>
      <c r="D416" s="226"/>
      <c r="E416" s="227" t="s">
        <v>948</v>
      </c>
      <c r="F416" s="227"/>
      <c r="G416" s="223" t="s">
        <v>949</v>
      </c>
      <c r="H416" s="223"/>
      <c r="I416" s="227" t="s">
        <v>950</v>
      </c>
      <c r="J416" s="227"/>
      <c r="K416" s="223" t="s">
        <v>951</v>
      </c>
      <c r="L416" s="223"/>
      <c r="M416" s="224"/>
    </row>
    <row r="417" spans="2:13" x14ac:dyDescent="0.25">
      <c r="B417" s="123" t="s">
        <v>571</v>
      </c>
      <c r="C417" s="225" t="s">
        <v>572</v>
      </c>
      <c r="D417" s="226"/>
      <c r="E417" s="227" t="s">
        <v>423</v>
      </c>
      <c r="F417" s="227"/>
      <c r="G417" s="223" t="s">
        <v>573</v>
      </c>
      <c r="H417" s="223"/>
      <c r="I417" s="223" t="s">
        <v>574</v>
      </c>
      <c r="J417" s="223"/>
      <c r="K417" s="223" t="s">
        <v>575</v>
      </c>
      <c r="L417" s="223"/>
      <c r="M417" s="224"/>
    </row>
    <row r="419" spans="2:13" ht="23.25" x14ac:dyDescent="0.35">
      <c r="B419" s="29" t="s">
        <v>334</v>
      </c>
      <c r="C419" s="229" t="s">
        <v>75</v>
      </c>
      <c r="D419" s="229"/>
      <c r="E419" s="229"/>
      <c r="F419" s="229"/>
      <c r="G419" s="229"/>
      <c r="H419" s="229"/>
      <c r="I419" s="229"/>
      <c r="J419" s="229"/>
    </row>
    <row r="420" spans="2:13" ht="18.75" x14ac:dyDescent="0.3">
      <c r="B420" s="12" t="s">
        <v>335</v>
      </c>
      <c r="C420" s="195" t="s">
        <v>336</v>
      </c>
      <c r="D420" s="228" t="s">
        <v>427</v>
      </c>
      <c r="E420" s="228"/>
      <c r="F420" s="1" t="s">
        <v>952</v>
      </c>
      <c r="L420" s="12" t="s">
        <v>339</v>
      </c>
      <c r="M420" s="6" t="s">
        <v>74</v>
      </c>
    </row>
    <row r="422" spans="2:13" x14ac:dyDescent="0.25">
      <c r="B422" s="2" t="s">
        <v>341</v>
      </c>
      <c r="C422" s="250" t="s">
        <v>953</v>
      </c>
      <c r="D422" s="250"/>
      <c r="E422" s="250" t="s">
        <v>343</v>
      </c>
      <c r="F422" s="250"/>
      <c r="G422" s="250" t="s">
        <v>954</v>
      </c>
      <c r="H422" s="250"/>
      <c r="I422" s="228" t="s">
        <v>345</v>
      </c>
      <c r="J422" s="228"/>
      <c r="K422" s="228"/>
      <c r="L422" s="228"/>
      <c r="M422" s="228"/>
    </row>
    <row r="423" spans="2:13" x14ac:dyDescent="0.25">
      <c r="C423" s="251"/>
      <c r="D423" s="251"/>
      <c r="E423" s="251"/>
      <c r="F423" s="251"/>
      <c r="G423" s="251"/>
      <c r="H423" s="251"/>
      <c r="I423" s="7"/>
      <c r="J423" s="7"/>
      <c r="K423" s="7"/>
      <c r="L423" s="7"/>
      <c r="M423" s="7"/>
    </row>
    <row r="424" spans="2:13" x14ac:dyDescent="0.25">
      <c r="B424" s="11" t="s">
        <v>955</v>
      </c>
      <c r="C424" s="252" t="s">
        <v>956</v>
      </c>
      <c r="D424" s="252"/>
      <c r="E424" s="252" t="s">
        <v>957</v>
      </c>
      <c r="F424" s="252"/>
      <c r="G424" s="252" t="s">
        <v>958</v>
      </c>
      <c r="H424" s="252"/>
      <c r="I424" s="14" t="s">
        <v>959</v>
      </c>
      <c r="J424" s="7"/>
      <c r="K424" s="7"/>
      <c r="L424" s="7"/>
      <c r="M424" s="7"/>
    </row>
    <row r="425" spans="2:13" x14ac:dyDescent="0.25">
      <c r="B425" s="11"/>
      <c r="C425" s="188"/>
      <c r="D425" s="188"/>
      <c r="E425" s="252"/>
      <c r="F425" s="252"/>
      <c r="G425" s="252"/>
      <c r="H425" s="252"/>
      <c r="I425" t="s">
        <v>960</v>
      </c>
      <c r="J425" s="7"/>
      <c r="K425" s="7"/>
      <c r="L425" s="7"/>
      <c r="M425" s="7"/>
    </row>
    <row r="426" spans="2:13" x14ac:dyDescent="0.25">
      <c r="B426" s="1" t="s">
        <v>961</v>
      </c>
      <c r="C426" s="253" t="s">
        <v>843</v>
      </c>
      <c r="D426" s="253"/>
      <c r="E426" s="253" t="s">
        <v>844</v>
      </c>
      <c r="F426" s="253"/>
      <c r="G426" s="253" t="s">
        <v>962</v>
      </c>
      <c r="H426" s="253"/>
      <c r="I426" s="14" t="s">
        <v>963</v>
      </c>
      <c r="J426" s="7"/>
      <c r="K426" s="7"/>
      <c r="L426" s="7"/>
      <c r="M426" s="7"/>
    </row>
    <row r="427" spans="2:13" x14ac:dyDescent="0.25">
      <c r="B427" s="1"/>
      <c r="C427" s="189"/>
      <c r="D427" s="189"/>
      <c r="E427" s="253"/>
      <c r="F427" s="253"/>
      <c r="G427" s="253"/>
      <c r="H427" s="253"/>
      <c r="I427" s="14" t="s">
        <v>964</v>
      </c>
      <c r="J427" s="7"/>
      <c r="K427" s="7"/>
      <c r="L427" s="7"/>
      <c r="M427" s="7"/>
    </row>
    <row r="428" spans="2:13" x14ac:dyDescent="0.25">
      <c r="B428" s="11" t="s">
        <v>965</v>
      </c>
      <c r="C428" s="252" t="s">
        <v>966</v>
      </c>
      <c r="D428" s="252"/>
      <c r="E428" s="252" t="s">
        <v>967</v>
      </c>
      <c r="F428" s="252"/>
      <c r="G428" s="252" t="s">
        <v>843</v>
      </c>
      <c r="H428" s="252"/>
      <c r="I428" t="s">
        <v>968</v>
      </c>
      <c r="J428" s="7"/>
      <c r="K428" s="7"/>
      <c r="L428" s="7"/>
      <c r="M428" s="7"/>
    </row>
    <row r="429" spans="2:13" x14ac:dyDescent="0.25">
      <c r="B429" s="11"/>
      <c r="C429" s="196"/>
      <c r="D429" s="196"/>
      <c r="E429" s="252"/>
      <c r="F429" s="252"/>
      <c r="G429" s="252"/>
      <c r="H429" s="252"/>
      <c r="I429" s="14" t="s">
        <v>969</v>
      </c>
      <c r="J429" s="7"/>
      <c r="K429" s="7"/>
      <c r="L429" s="7"/>
      <c r="M429" s="7"/>
    </row>
    <row r="430" spans="2:13" x14ac:dyDescent="0.25">
      <c r="B430" s="1" t="s">
        <v>457</v>
      </c>
      <c r="C430" s="253" t="s">
        <v>970</v>
      </c>
      <c r="D430" s="253"/>
      <c r="E430" s="253" t="s">
        <v>971</v>
      </c>
      <c r="F430" s="253"/>
      <c r="G430" s="253" t="s">
        <v>972</v>
      </c>
      <c r="H430" s="253"/>
      <c r="I430" s="14" t="s">
        <v>973</v>
      </c>
      <c r="J430" s="7"/>
      <c r="K430" s="7"/>
      <c r="L430" s="7"/>
      <c r="M430" s="7"/>
    </row>
    <row r="431" spans="2:13" x14ac:dyDescent="0.25">
      <c r="B431" s="1"/>
      <c r="C431" s="197"/>
      <c r="D431" s="197"/>
      <c r="E431" s="253"/>
      <c r="F431" s="253"/>
      <c r="G431" s="253"/>
      <c r="H431" s="253"/>
      <c r="I431" s="14" t="s">
        <v>974</v>
      </c>
      <c r="J431" s="7"/>
      <c r="K431" s="7"/>
      <c r="L431" s="7"/>
      <c r="M431" s="7"/>
    </row>
    <row r="432" spans="2:13" x14ac:dyDescent="0.25">
      <c r="B432" s="11" t="s">
        <v>975</v>
      </c>
      <c r="C432" s="252" t="s">
        <v>976</v>
      </c>
      <c r="D432" s="252"/>
      <c r="E432" s="252" t="s">
        <v>977</v>
      </c>
      <c r="F432" s="252"/>
      <c r="G432" s="252" t="s">
        <v>978</v>
      </c>
      <c r="H432" s="252"/>
      <c r="I432" s="14" t="s">
        <v>979</v>
      </c>
      <c r="K432" s="7"/>
      <c r="L432" s="7"/>
      <c r="M432" s="7"/>
    </row>
    <row r="433" spans="2:15" x14ac:dyDescent="0.25">
      <c r="B433" s="11" t="s">
        <v>980</v>
      </c>
      <c r="C433" s="188"/>
      <c r="D433" s="188"/>
      <c r="E433" s="252"/>
      <c r="F433" s="252"/>
      <c r="G433" s="252"/>
      <c r="H433" s="252"/>
      <c r="I433" s="14" t="s">
        <v>981</v>
      </c>
      <c r="J433" s="7"/>
      <c r="K433" s="7"/>
      <c r="L433" s="7"/>
      <c r="M433" s="7"/>
    </row>
    <row r="434" spans="2:15" x14ac:dyDescent="0.25">
      <c r="B434" s="1" t="s">
        <v>982</v>
      </c>
      <c r="C434" s="253" t="s">
        <v>983</v>
      </c>
      <c r="D434" s="253"/>
      <c r="E434" s="253" t="s">
        <v>984</v>
      </c>
      <c r="F434" s="253"/>
      <c r="G434" s="253" t="s">
        <v>985</v>
      </c>
      <c r="H434" s="253"/>
      <c r="I434" s="14" t="s">
        <v>986</v>
      </c>
      <c r="J434" s="14"/>
      <c r="K434" s="7"/>
      <c r="L434" s="7"/>
      <c r="M434" s="7"/>
    </row>
    <row r="435" spans="2:15" x14ac:dyDescent="0.25">
      <c r="B435" s="1"/>
      <c r="C435" s="197"/>
      <c r="D435" s="197"/>
      <c r="E435" s="253"/>
      <c r="F435" s="253"/>
      <c r="G435" s="253"/>
      <c r="H435" s="253"/>
      <c r="I435" t="s">
        <v>987</v>
      </c>
      <c r="J435" s="14"/>
      <c r="K435" s="7"/>
      <c r="L435" s="7"/>
      <c r="M435" s="7"/>
    </row>
    <row r="436" spans="2:15" x14ac:dyDescent="0.25">
      <c r="B436" s="32"/>
      <c r="C436" s="310"/>
      <c r="D436" s="310"/>
      <c r="E436" s="255"/>
      <c r="F436" s="255"/>
      <c r="G436" s="255"/>
      <c r="H436" s="255"/>
      <c r="I436" s="14" t="s">
        <v>988</v>
      </c>
      <c r="K436" s="7"/>
      <c r="L436" s="7"/>
      <c r="M436" s="7"/>
    </row>
    <row r="437" spans="2:15" x14ac:dyDescent="0.25">
      <c r="B437" s="32"/>
      <c r="C437" s="201"/>
      <c r="D437" s="201"/>
      <c r="E437" s="255"/>
      <c r="F437" s="255"/>
      <c r="G437" s="255"/>
      <c r="H437" s="255"/>
      <c r="I437" s="14" t="s">
        <v>989</v>
      </c>
    </row>
    <row r="438" spans="2:15" ht="15.75" thickBot="1" x14ac:dyDescent="0.3">
      <c r="B438" s="1"/>
      <c r="C438" s="285"/>
      <c r="D438" s="285"/>
      <c r="E438" s="253"/>
      <c r="F438" s="253"/>
      <c r="G438" s="253"/>
      <c r="H438" s="253"/>
      <c r="I438" s="14" t="s">
        <v>990</v>
      </c>
    </row>
    <row r="439" spans="2:15" x14ac:dyDescent="0.25">
      <c r="B439" s="217" t="s">
        <v>401</v>
      </c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9"/>
    </row>
    <row r="440" spans="2:15" x14ac:dyDescent="0.25">
      <c r="B440" s="3" t="s">
        <v>402</v>
      </c>
      <c r="C440" s="232" t="s">
        <v>403</v>
      </c>
      <c r="D440" s="232"/>
      <c r="E440" s="233" t="s">
        <v>404</v>
      </c>
      <c r="F440" s="233"/>
      <c r="G440" s="232" t="s">
        <v>405</v>
      </c>
      <c r="H440" s="232"/>
      <c r="I440" s="232" t="s">
        <v>406</v>
      </c>
      <c r="J440" s="232"/>
      <c r="K440" s="234" t="s">
        <v>468</v>
      </c>
      <c r="L440" s="235"/>
      <c r="M440" s="236"/>
    </row>
    <row r="441" spans="2:15" ht="15.75" thickBot="1" x14ac:dyDescent="0.3">
      <c r="B441" s="5">
        <v>4.1879999999999997</v>
      </c>
      <c r="C441" s="237">
        <v>1.6</v>
      </c>
      <c r="D441" s="238"/>
      <c r="E441" s="239">
        <v>0.19800000000000001</v>
      </c>
      <c r="F441" s="238"/>
      <c r="G441" s="240"/>
      <c r="H441" s="240"/>
      <c r="I441" s="241"/>
      <c r="J441" s="241"/>
      <c r="K441" s="242"/>
      <c r="L441" s="243"/>
      <c r="M441" s="244"/>
    </row>
    <row r="442" spans="2:15" ht="15.75" thickBot="1" x14ac:dyDescent="0.3">
      <c r="B442" s="1"/>
      <c r="C442" s="1"/>
      <c r="D442" s="1"/>
      <c r="E442" s="1"/>
      <c r="F442" s="1"/>
      <c r="G442" s="1"/>
      <c r="H442" s="1"/>
    </row>
    <row r="443" spans="2:15" x14ac:dyDescent="0.25">
      <c r="B443" s="217" t="s">
        <v>408</v>
      </c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9"/>
    </row>
    <row r="444" spans="2:15" x14ac:dyDescent="0.25">
      <c r="B444" s="3" t="s">
        <v>991</v>
      </c>
      <c r="C444" s="232" t="s">
        <v>992</v>
      </c>
      <c r="D444" s="232"/>
      <c r="E444" s="233" t="s">
        <v>993</v>
      </c>
      <c r="F444" s="233"/>
      <c r="G444" s="233" t="s">
        <v>994</v>
      </c>
      <c r="H444" s="233"/>
      <c r="I444" s="233" t="s">
        <v>995</v>
      </c>
      <c r="J444" s="233"/>
      <c r="K444" s="232" t="s">
        <v>996</v>
      </c>
      <c r="L444" s="232"/>
      <c r="M444" s="269"/>
    </row>
    <row r="445" spans="2:15" ht="15.75" thickBot="1" x14ac:dyDescent="0.3">
      <c r="B445" s="5" t="s">
        <v>997</v>
      </c>
      <c r="C445" s="240" t="s">
        <v>998</v>
      </c>
      <c r="D445" s="240"/>
      <c r="E445" s="266" t="s">
        <v>999</v>
      </c>
      <c r="F445" s="266"/>
      <c r="G445" s="239" t="s">
        <v>1000</v>
      </c>
      <c r="H445" s="238"/>
      <c r="I445" s="237" t="s">
        <v>1001</v>
      </c>
      <c r="J445" s="238"/>
      <c r="K445" s="240" t="s">
        <v>1002</v>
      </c>
      <c r="L445" s="240"/>
      <c r="M445" s="267"/>
    </row>
    <row r="447" spans="2:15" ht="23.25" x14ac:dyDescent="0.35">
      <c r="B447" s="29" t="s">
        <v>334</v>
      </c>
      <c r="C447" s="229" t="s">
        <v>178</v>
      </c>
      <c r="D447" s="229"/>
      <c r="E447" s="229"/>
      <c r="F447" s="229"/>
      <c r="G447" s="229"/>
      <c r="H447" s="229"/>
      <c r="I447" s="229"/>
      <c r="J447" s="229"/>
      <c r="O447" s="101" t="s">
        <v>481</v>
      </c>
    </row>
    <row r="448" spans="2:15" ht="18.75" x14ac:dyDescent="0.3">
      <c r="B448" s="12" t="s">
        <v>335</v>
      </c>
      <c r="C448" s="195" t="s">
        <v>336</v>
      </c>
      <c r="D448" s="228" t="s">
        <v>427</v>
      </c>
      <c r="E448" s="228"/>
      <c r="F448" s="1" t="s">
        <v>1003</v>
      </c>
      <c r="L448" s="12" t="s">
        <v>339</v>
      </c>
      <c r="M448" s="6" t="s">
        <v>177</v>
      </c>
    </row>
    <row r="449" spans="2:15" x14ac:dyDescent="0.25">
      <c r="F449" t="s">
        <v>1004</v>
      </c>
    </row>
    <row r="450" spans="2:15" x14ac:dyDescent="0.25">
      <c r="B450" s="2" t="s">
        <v>341</v>
      </c>
      <c r="C450" s="250" t="s">
        <v>1005</v>
      </c>
      <c r="D450" s="250"/>
      <c r="E450" s="250" t="s">
        <v>1006</v>
      </c>
      <c r="F450" s="250"/>
      <c r="G450" s="250" t="s">
        <v>1007</v>
      </c>
      <c r="H450" s="250"/>
      <c r="I450" s="228" t="s">
        <v>345</v>
      </c>
      <c r="J450" s="228"/>
      <c r="K450" s="228"/>
      <c r="L450" s="228"/>
      <c r="M450" s="228"/>
      <c r="O450" s="101" t="s">
        <v>732</v>
      </c>
    </row>
    <row r="451" spans="2:15" x14ac:dyDescent="0.25">
      <c r="C451" s="250" t="s">
        <v>1008</v>
      </c>
      <c r="D451" s="250"/>
      <c r="E451" s="250" t="s">
        <v>1009</v>
      </c>
      <c r="F451" s="250"/>
      <c r="G451" s="250" t="s">
        <v>1010</v>
      </c>
      <c r="H451" s="250"/>
      <c r="I451" s="7"/>
      <c r="J451" s="7"/>
      <c r="K451" s="7"/>
      <c r="L451" s="7"/>
      <c r="M451" s="7"/>
    </row>
    <row r="452" spans="2:15" x14ac:dyDescent="0.25">
      <c r="B452" s="11" t="s">
        <v>1011</v>
      </c>
      <c r="C452" s="252" t="s">
        <v>1012</v>
      </c>
      <c r="D452" s="252"/>
      <c r="E452" s="252" t="s">
        <v>1013</v>
      </c>
      <c r="F452" s="252"/>
      <c r="G452" s="252" t="s">
        <v>1014</v>
      </c>
      <c r="H452" s="252"/>
      <c r="I452" s="14" t="s">
        <v>1015</v>
      </c>
      <c r="J452" s="7"/>
      <c r="K452" s="7"/>
      <c r="L452" s="7"/>
      <c r="M452" s="7"/>
      <c r="O452" s="98" t="e">
        <f>SUM(29.75*#REF!)/175</f>
        <v>#REF!</v>
      </c>
    </row>
    <row r="453" spans="2:15" x14ac:dyDescent="0.25">
      <c r="B453" s="11" t="s">
        <v>1016</v>
      </c>
      <c r="C453" s="188"/>
      <c r="D453" s="188"/>
      <c r="E453" s="252"/>
      <c r="F453" s="252"/>
      <c r="G453" s="252"/>
      <c r="H453" s="252"/>
      <c r="I453" s="14" t="s">
        <v>1017</v>
      </c>
      <c r="J453" s="7"/>
      <c r="K453" s="7"/>
      <c r="L453" s="7"/>
      <c r="M453" s="7"/>
    </row>
    <row r="454" spans="2:15" x14ac:dyDescent="0.25">
      <c r="B454" s="1" t="s">
        <v>1018</v>
      </c>
      <c r="C454" s="253" t="s">
        <v>1019</v>
      </c>
      <c r="D454" s="253"/>
      <c r="E454" s="253" t="s">
        <v>1020</v>
      </c>
      <c r="F454" s="253"/>
      <c r="G454" s="253" t="s">
        <v>1021</v>
      </c>
      <c r="H454" s="253"/>
      <c r="I454" s="14" t="s">
        <v>1022</v>
      </c>
      <c r="J454" s="7"/>
      <c r="K454" s="7"/>
      <c r="L454" s="7"/>
      <c r="M454" s="7"/>
      <c r="O454" s="102" t="e">
        <f>SUM(5*#REF!)/175</f>
        <v>#REF!</v>
      </c>
    </row>
    <row r="455" spans="2:15" x14ac:dyDescent="0.25">
      <c r="B455" s="1" t="s">
        <v>1023</v>
      </c>
      <c r="C455" s="253" t="s">
        <v>383</v>
      </c>
      <c r="D455" s="253"/>
      <c r="E455" s="253" t="s">
        <v>355</v>
      </c>
      <c r="F455" s="253"/>
      <c r="G455" s="253" t="s">
        <v>1024</v>
      </c>
      <c r="H455" s="253"/>
      <c r="I455" s="14" t="s">
        <v>1025</v>
      </c>
      <c r="J455" s="7"/>
      <c r="K455" s="7"/>
      <c r="L455" s="7"/>
      <c r="M455" s="7"/>
    </row>
    <row r="456" spans="2:15" x14ac:dyDescent="0.25">
      <c r="B456" s="11" t="s">
        <v>889</v>
      </c>
      <c r="C456" s="252" t="s">
        <v>487</v>
      </c>
      <c r="D456" s="252"/>
      <c r="E456" s="252" t="s">
        <v>1026</v>
      </c>
      <c r="F456" s="252"/>
      <c r="G456" s="252" t="s">
        <v>1027</v>
      </c>
      <c r="H456" s="252"/>
      <c r="I456" s="14" t="s">
        <v>1028</v>
      </c>
      <c r="J456" s="7"/>
      <c r="K456" s="7"/>
      <c r="L456" s="7"/>
      <c r="M456" s="7"/>
      <c r="O456" s="102" t="e">
        <f>SUM(4*#REF!)/175</f>
        <v>#REF!</v>
      </c>
    </row>
    <row r="457" spans="2:15" x14ac:dyDescent="0.25">
      <c r="B457" s="11"/>
      <c r="C457" s="188"/>
      <c r="D457" s="188"/>
      <c r="E457" s="252"/>
      <c r="F457" s="252"/>
      <c r="G457" s="252"/>
      <c r="H457" s="252"/>
      <c r="I457" s="14" t="s">
        <v>1029</v>
      </c>
      <c r="J457" s="7"/>
      <c r="K457" s="7"/>
      <c r="L457" s="7"/>
      <c r="M457" s="7"/>
    </row>
    <row r="458" spans="2:15" x14ac:dyDescent="0.25">
      <c r="B458" s="1" t="s">
        <v>1030</v>
      </c>
      <c r="C458" s="253" t="s">
        <v>1031</v>
      </c>
      <c r="D458" s="253"/>
      <c r="E458" s="253" t="s">
        <v>603</v>
      </c>
      <c r="F458" s="253"/>
      <c r="G458" s="253" t="s">
        <v>1032</v>
      </c>
      <c r="H458" s="253"/>
      <c r="I458" s="14" t="s">
        <v>1033</v>
      </c>
      <c r="J458" s="7"/>
      <c r="K458" s="7"/>
      <c r="L458" s="7"/>
      <c r="M458" s="7"/>
      <c r="O458" s="98" t="e">
        <f>SUM(9.5*#REF!)/175</f>
        <v>#REF!</v>
      </c>
    </row>
    <row r="459" spans="2:15" x14ac:dyDescent="0.25">
      <c r="B459" s="1"/>
      <c r="C459" s="189"/>
      <c r="D459" s="189"/>
      <c r="E459" s="253"/>
      <c r="F459" s="253"/>
      <c r="G459" s="253"/>
      <c r="H459" s="253"/>
      <c r="I459" s="14" t="s">
        <v>1034</v>
      </c>
      <c r="J459" s="7"/>
      <c r="K459" s="7"/>
      <c r="L459" s="7"/>
      <c r="M459" s="7"/>
    </row>
    <row r="460" spans="2:15" x14ac:dyDescent="0.25">
      <c r="B460" s="11" t="s">
        <v>1035</v>
      </c>
      <c r="C460" s="252" t="s">
        <v>1031</v>
      </c>
      <c r="D460" s="252"/>
      <c r="E460" s="252" t="s">
        <v>603</v>
      </c>
      <c r="F460" s="252"/>
      <c r="G460" s="252" t="s">
        <v>1032</v>
      </c>
      <c r="H460" s="252"/>
      <c r="I460" s="14" t="s">
        <v>612</v>
      </c>
      <c r="K460" s="7"/>
      <c r="L460" s="7"/>
      <c r="M460" s="7"/>
      <c r="O460" s="103" t="e">
        <f>SUM(9.5*#REF!)/175</f>
        <v>#REF!</v>
      </c>
    </row>
    <row r="461" spans="2:15" x14ac:dyDescent="0.25">
      <c r="B461" s="11"/>
      <c r="C461" s="188"/>
      <c r="D461" s="188"/>
      <c r="E461" s="252"/>
      <c r="F461" s="252"/>
      <c r="G461" s="252"/>
      <c r="H461" s="252"/>
      <c r="I461" s="14"/>
      <c r="J461" s="7"/>
      <c r="K461" s="7"/>
      <c r="L461" s="7"/>
      <c r="M461" s="7"/>
    </row>
    <row r="462" spans="2:15" x14ac:dyDescent="0.25">
      <c r="B462" s="1" t="s">
        <v>397</v>
      </c>
      <c r="C462" s="253" t="s">
        <v>1036</v>
      </c>
      <c r="D462" s="253"/>
      <c r="E462" s="253" t="s">
        <v>1037</v>
      </c>
      <c r="F462" s="253"/>
      <c r="G462" s="253" t="s">
        <v>1038</v>
      </c>
      <c r="H462" s="253"/>
      <c r="I462" s="14" t="s">
        <v>1039</v>
      </c>
      <c r="J462" s="14"/>
      <c r="K462" s="7"/>
      <c r="L462" s="7"/>
      <c r="M462" s="7"/>
      <c r="O462" s="98">
        <v>0</v>
      </c>
    </row>
    <row r="463" spans="2:15" x14ac:dyDescent="0.25">
      <c r="B463" s="1"/>
      <c r="C463" s="189"/>
      <c r="D463" s="189"/>
      <c r="E463" s="253"/>
      <c r="F463" s="253"/>
      <c r="G463" s="253"/>
      <c r="H463" s="253"/>
      <c r="I463" s="14" t="s">
        <v>1040</v>
      </c>
      <c r="J463" s="14"/>
      <c r="K463" s="7"/>
      <c r="L463" s="7"/>
      <c r="M463" s="7"/>
      <c r="O463" s="98"/>
    </row>
    <row r="464" spans="2:15" x14ac:dyDescent="0.25">
      <c r="B464" s="11" t="s">
        <v>1041</v>
      </c>
      <c r="C464" s="265" t="s">
        <v>1042</v>
      </c>
      <c r="D464" s="265"/>
      <c r="E464" s="252" t="s">
        <v>602</v>
      </c>
      <c r="F464" s="252"/>
      <c r="G464" s="252" t="s">
        <v>368</v>
      </c>
      <c r="H464" s="252"/>
      <c r="I464" s="14"/>
      <c r="K464" s="7"/>
      <c r="L464" s="7"/>
      <c r="M464" s="7"/>
      <c r="O464" s="98" t="e">
        <f>SUM(4.75*#REF!)/175</f>
        <v>#REF!</v>
      </c>
    </row>
    <row r="465" spans="2:15" x14ac:dyDescent="0.25">
      <c r="B465" s="11"/>
      <c r="C465" s="188"/>
      <c r="D465" s="188"/>
      <c r="E465" s="252"/>
      <c r="F465" s="252"/>
      <c r="G465" s="252"/>
      <c r="H465" s="252"/>
      <c r="I465" s="14" t="s">
        <v>1043</v>
      </c>
      <c r="O465" s="98"/>
    </row>
    <row r="466" spans="2:15" x14ac:dyDescent="0.25">
      <c r="B466" s="1" t="s">
        <v>1044</v>
      </c>
      <c r="C466" s="253" t="s">
        <v>678</v>
      </c>
      <c r="D466" s="253"/>
      <c r="E466" s="253" t="s">
        <v>455</v>
      </c>
      <c r="F466" s="253"/>
      <c r="G466" s="253" t="s">
        <v>524</v>
      </c>
      <c r="H466" s="253"/>
      <c r="I466" s="14" t="s">
        <v>1045</v>
      </c>
      <c r="O466" s="102" t="e">
        <f>SUM(0.3*#REF!)/175</f>
        <v>#REF!</v>
      </c>
    </row>
    <row r="467" spans="2:15" x14ac:dyDescent="0.25">
      <c r="B467" s="1"/>
      <c r="C467" s="189"/>
      <c r="D467" s="189"/>
      <c r="E467" s="253"/>
      <c r="F467" s="253"/>
      <c r="G467" s="253"/>
      <c r="H467" s="253"/>
      <c r="O467" s="98"/>
    </row>
    <row r="468" spans="2:15" x14ac:dyDescent="0.25">
      <c r="B468" s="11" t="s">
        <v>1046</v>
      </c>
      <c r="C468" s="252" t="s">
        <v>744</v>
      </c>
      <c r="D468" s="252"/>
      <c r="E468" s="252" t="s">
        <v>891</v>
      </c>
      <c r="F468" s="252"/>
      <c r="G468" s="252" t="s">
        <v>1047</v>
      </c>
      <c r="H468" s="252"/>
      <c r="O468" s="102" t="e">
        <f>SUM(2*#REF!)/175</f>
        <v>#REF!</v>
      </c>
    </row>
    <row r="469" spans="2:15" x14ac:dyDescent="0.25">
      <c r="B469" s="11"/>
      <c r="C469" s="188"/>
      <c r="D469" s="188"/>
      <c r="E469" s="252"/>
      <c r="F469" s="252"/>
      <c r="G469" s="252"/>
      <c r="H469" s="252"/>
      <c r="O469" s="98"/>
    </row>
    <row r="470" spans="2:15" x14ac:dyDescent="0.25">
      <c r="B470" s="1" t="s">
        <v>1048</v>
      </c>
      <c r="C470" s="253" t="s">
        <v>383</v>
      </c>
      <c r="D470" s="253"/>
      <c r="E470" s="253" t="s">
        <v>355</v>
      </c>
      <c r="F470" s="253"/>
      <c r="G470" s="253" t="s">
        <v>1024</v>
      </c>
      <c r="H470" s="253"/>
      <c r="O470" s="98" t="e">
        <f>SUM(2.5*#REF!)/175</f>
        <v>#REF!</v>
      </c>
    </row>
    <row r="471" spans="2:15" x14ac:dyDescent="0.25">
      <c r="B471" s="1"/>
      <c r="C471" s="189"/>
      <c r="D471" s="189"/>
      <c r="E471" s="253"/>
      <c r="F471" s="253"/>
      <c r="G471" s="253"/>
      <c r="H471" s="253"/>
      <c r="O471" s="98"/>
    </row>
    <row r="472" spans="2:15" x14ac:dyDescent="0.25">
      <c r="B472" s="11" t="s">
        <v>518</v>
      </c>
      <c r="C472" s="252" t="s">
        <v>491</v>
      </c>
      <c r="D472" s="252"/>
      <c r="E472" s="252" t="s">
        <v>1049</v>
      </c>
      <c r="F472" s="252"/>
      <c r="G472" s="252" t="s">
        <v>1050</v>
      </c>
      <c r="H472" s="252"/>
      <c r="O472" s="103" t="e">
        <f>SUM(3*#REF!)/175</f>
        <v>#REF!</v>
      </c>
    </row>
    <row r="473" spans="2:15" x14ac:dyDescent="0.25">
      <c r="B473" s="11"/>
      <c r="C473" s="13"/>
      <c r="D473" s="188"/>
      <c r="E473" s="188"/>
      <c r="F473" s="188"/>
      <c r="G473" s="188"/>
      <c r="H473" s="188"/>
      <c r="O473" s="98"/>
    </row>
    <row r="474" spans="2:15" x14ac:dyDescent="0.25">
      <c r="B474" s="1" t="s">
        <v>1051</v>
      </c>
      <c r="C474" s="253" t="s">
        <v>1052</v>
      </c>
      <c r="D474" s="253"/>
      <c r="E474" s="253" t="s">
        <v>487</v>
      </c>
      <c r="F474" s="253"/>
      <c r="G474" s="253" t="s">
        <v>1053</v>
      </c>
      <c r="H474" s="253"/>
      <c r="O474" s="102" t="e">
        <f>SUM(3.3*#REF!)/175</f>
        <v>#REF!</v>
      </c>
    </row>
    <row r="475" spans="2:15" x14ac:dyDescent="0.25">
      <c r="B475" s="1"/>
      <c r="C475" s="189"/>
      <c r="D475" s="189"/>
      <c r="E475" s="189"/>
      <c r="F475" s="189"/>
      <c r="G475" s="189"/>
      <c r="H475" s="189"/>
      <c r="O475" s="98"/>
    </row>
    <row r="476" spans="2:15" x14ac:dyDescent="0.25">
      <c r="B476" s="11" t="s">
        <v>1054</v>
      </c>
      <c r="C476" s="252" t="s">
        <v>545</v>
      </c>
      <c r="D476" s="252"/>
      <c r="E476" s="252" t="s">
        <v>984</v>
      </c>
      <c r="F476" s="252"/>
      <c r="G476" s="252" t="s">
        <v>1055</v>
      </c>
      <c r="H476" s="252"/>
      <c r="O476" s="99" t="e">
        <f>#REF!</f>
        <v>#REF!</v>
      </c>
    </row>
    <row r="477" spans="2:15" ht="15.75" thickBot="1" x14ac:dyDescent="0.3">
      <c r="B477" s="8"/>
      <c r="C477" s="311"/>
      <c r="D477" s="311"/>
      <c r="E477" s="311"/>
      <c r="F477" s="311"/>
      <c r="G477" s="311"/>
      <c r="H477" s="311"/>
      <c r="O477" s="98"/>
    </row>
    <row r="478" spans="2:15" x14ac:dyDescent="0.25">
      <c r="B478" s="217" t="s">
        <v>614</v>
      </c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9"/>
      <c r="O478" s="100" t="e">
        <f>SUM(O452:O476)</f>
        <v>#REF!</v>
      </c>
    </row>
    <row r="479" spans="2:15" x14ac:dyDescent="0.25">
      <c r="B479" s="3" t="s">
        <v>402</v>
      </c>
      <c r="C479" s="232" t="s">
        <v>403</v>
      </c>
      <c r="D479" s="232"/>
      <c r="E479" s="233" t="s">
        <v>404</v>
      </c>
      <c r="F479" s="233"/>
      <c r="G479" s="232" t="s">
        <v>405</v>
      </c>
      <c r="H479" s="232"/>
      <c r="I479" s="232" t="s">
        <v>406</v>
      </c>
      <c r="J479" s="232"/>
      <c r="K479" s="234" t="s">
        <v>407</v>
      </c>
      <c r="L479" s="235"/>
      <c r="M479" s="236"/>
      <c r="O479" s="98"/>
    </row>
    <row r="480" spans="2:15" ht="15.75" thickBot="1" x14ac:dyDescent="0.3">
      <c r="B480" s="5">
        <v>2</v>
      </c>
      <c r="C480" s="237">
        <v>2.1800000000000002</v>
      </c>
      <c r="D480" s="238"/>
      <c r="E480" s="239">
        <v>0.18579999999999999</v>
      </c>
      <c r="F480" s="238"/>
      <c r="G480" s="240"/>
      <c r="H480" s="240"/>
      <c r="I480" s="241"/>
      <c r="J480" s="241"/>
      <c r="K480" s="242">
        <v>1.41E-2</v>
      </c>
      <c r="L480" s="243"/>
      <c r="M480" s="244"/>
    </row>
    <row r="481" spans="2:15" x14ac:dyDescent="0.25">
      <c r="B481" s="134"/>
      <c r="C481" s="134"/>
      <c r="D481" s="134"/>
      <c r="E481" s="134"/>
      <c r="F481" s="134"/>
      <c r="G481" s="134"/>
      <c r="H481" s="134"/>
      <c r="I481" s="135"/>
      <c r="J481" s="135"/>
      <c r="K481" s="135"/>
      <c r="L481" s="135"/>
      <c r="M481" s="135"/>
    </row>
    <row r="482" spans="2:15" x14ac:dyDescent="0.25">
      <c r="B482" s="217" t="s">
        <v>615</v>
      </c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9"/>
    </row>
    <row r="483" spans="2:15" x14ac:dyDescent="0.25">
      <c r="B483" s="122" t="s">
        <v>1056</v>
      </c>
      <c r="C483" s="220" t="s">
        <v>1057</v>
      </c>
      <c r="D483" s="220"/>
      <c r="E483" s="221" t="s">
        <v>1058</v>
      </c>
      <c r="F483" s="221"/>
      <c r="G483" s="221" t="s">
        <v>1059</v>
      </c>
      <c r="H483" s="221"/>
      <c r="I483" s="220" t="s">
        <v>1060</v>
      </c>
      <c r="J483" s="220"/>
      <c r="K483" s="220" t="s">
        <v>827</v>
      </c>
      <c r="L483" s="220"/>
      <c r="M483" s="222"/>
    </row>
    <row r="484" spans="2:15" x14ac:dyDescent="0.25">
      <c r="B484" s="123" t="s">
        <v>1061</v>
      </c>
      <c r="C484" s="225" t="s">
        <v>1062</v>
      </c>
      <c r="D484" s="226"/>
      <c r="E484" s="227" t="s">
        <v>1063</v>
      </c>
      <c r="F484" s="227"/>
      <c r="G484" s="223" t="s">
        <v>1064</v>
      </c>
      <c r="H484" s="223"/>
      <c r="I484" s="227" t="s">
        <v>828</v>
      </c>
      <c r="J484" s="227"/>
      <c r="K484" s="223" t="s">
        <v>1065</v>
      </c>
      <c r="L484" s="223"/>
      <c r="M484" s="224"/>
    </row>
    <row r="485" spans="2:15" x14ac:dyDescent="0.25">
      <c r="B485" s="123" t="s">
        <v>1066</v>
      </c>
      <c r="C485" s="286" t="s">
        <v>1067</v>
      </c>
      <c r="D485" s="287"/>
      <c r="E485" s="227" t="s">
        <v>1068</v>
      </c>
      <c r="F485" s="227"/>
      <c r="G485" s="223" t="s">
        <v>1069</v>
      </c>
      <c r="H485" s="223"/>
      <c r="I485" s="223" t="s">
        <v>1070</v>
      </c>
      <c r="J485" s="223"/>
      <c r="K485" s="223" t="s">
        <v>575</v>
      </c>
      <c r="L485" s="223"/>
      <c r="M485" s="224"/>
    </row>
    <row r="486" spans="2:15" x14ac:dyDescent="0.25">
      <c r="B486" s="134"/>
      <c r="C486" s="134"/>
      <c r="D486" s="134"/>
      <c r="E486" s="134"/>
      <c r="F486" s="134"/>
      <c r="G486" s="134"/>
      <c r="H486" s="134"/>
      <c r="I486" s="135"/>
      <c r="J486" s="135"/>
      <c r="K486" s="135"/>
      <c r="L486" s="135"/>
      <c r="M486" s="135"/>
    </row>
    <row r="487" spans="2:15" x14ac:dyDescent="0.25">
      <c r="B487" s="217" t="s">
        <v>632</v>
      </c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9"/>
    </row>
    <row r="488" spans="2:15" x14ac:dyDescent="0.25">
      <c r="B488" s="3" t="s">
        <v>402</v>
      </c>
      <c r="C488" s="232" t="s">
        <v>403</v>
      </c>
      <c r="D488" s="232"/>
      <c r="E488" s="233" t="s">
        <v>404</v>
      </c>
      <c r="F488" s="233"/>
      <c r="G488" s="232" t="s">
        <v>405</v>
      </c>
      <c r="H488" s="232"/>
      <c r="I488" s="232" t="s">
        <v>406</v>
      </c>
      <c r="J488" s="232"/>
      <c r="K488" s="234" t="s">
        <v>407</v>
      </c>
      <c r="L488" s="235"/>
      <c r="M488" s="236"/>
    </row>
    <row r="489" spans="2:15" x14ac:dyDescent="0.25">
      <c r="B489" s="5">
        <v>1.75</v>
      </c>
      <c r="C489" s="237">
        <v>2.1800000000000002</v>
      </c>
      <c r="D489" s="238"/>
      <c r="E489" s="239">
        <v>0.16200000000000001</v>
      </c>
      <c r="F489" s="238"/>
      <c r="G489" s="240"/>
      <c r="H489" s="240"/>
      <c r="I489" s="241"/>
      <c r="J489" s="241"/>
      <c r="K489" s="242">
        <v>1.2E-2</v>
      </c>
      <c r="L489" s="243"/>
      <c r="M489" s="244"/>
    </row>
    <row r="490" spans="2:15" x14ac:dyDescent="0.25">
      <c r="B490" s="134"/>
      <c r="C490" s="134"/>
      <c r="D490" s="134"/>
      <c r="E490" s="134"/>
      <c r="F490" s="134"/>
      <c r="G490" s="134"/>
      <c r="H490" s="134"/>
      <c r="I490" s="135"/>
      <c r="J490" s="135"/>
      <c r="K490" s="135"/>
      <c r="L490" s="135"/>
      <c r="M490" s="135"/>
    </row>
    <row r="491" spans="2:15" x14ac:dyDescent="0.25">
      <c r="B491" s="217" t="s">
        <v>633</v>
      </c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9"/>
    </row>
    <row r="492" spans="2:15" ht="15.75" customHeight="1" x14ac:dyDescent="0.25">
      <c r="B492" s="122" t="s">
        <v>1071</v>
      </c>
      <c r="C492" s="220" t="s">
        <v>1072</v>
      </c>
      <c r="D492" s="220"/>
      <c r="E492" s="221" t="s">
        <v>1073</v>
      </c>
      <c r="F492" s="221"/>
      <c r="G492" s="221" t="s">
        <v>1074</v>
      </c>
      <c r="H492" s="221"/>
      <c r="I492" s="220" t="s">
        <v>1075</v>
      </c>
      <c r="J492" s="220"/>
      <c r="K492" s="220" t="s">
        <v>1076</v>
      </c>
      <c r="L492" s="220"/>
      <c r="M492" s="222"/>
    </row>
    <row r="493" spans="2:15" ht="15.75" customHeight="1" x14ac:dyDescent="0.25">
      <c r="B493" s="123" t="s">
        <v>565</v>
      </c>
      <c r="C493" s="225" t="s">
        <v>947</v>
      </c>
      <c r="D493" s="226"/>
      <c r="E493" s="227" t="s">
        <v>1077</v>
      </c>
      <c r="F493" s="227"/>
      <c r="G493" s="223" t="s">
        <v>568</v>
      </c>
      <c r="H493" s="223"/>
      <c r="I493" s="227" t="s">
        <v>1078</v>
      </c>
      <c r="J493" s="227"/>
      <c r="K493" s="223" t="s">
        <v>1079</v>
      </c>
      <c r="L493" s="223"/>
      <c r="M493" s="224"/>
    </row>
    <row r="494" spans="2:15" x14ac:dyDescent="0.25">
      <c r="B494" s="123" t="s">
        <v>1080</v>
      </c>
      <c r="C494" s="286" t="s">
        <v>572</v>
      </c>
      <c r="D494" s="287"/>
      <c r="E494" s="227" t="s">
        <v>1081</v>
      </c>
      <c r="F494" s="227"/>
      <c r="G494" s="223" t="s">
        <v>1082</v>
      </c>
      <c r="H494" s="223"/>
      <c r="I494" s="223" t="s">
        <v>1083</v>
      </c>
      <c r="J494" s="223"/>
      <c r="K494" s="223" t="s">
        <v>575</v>
      </c>
      <c r="L494" s="223"/>
      <c r="M494" s="224"/>
    </row>
    <row r="495" spans="2:15" ht="23.25" x14ac:dyDescent="0.35">
      <c r="B495" s="29" t="s">
        <v>334</v>
      </c>
      <c r="C495" s="229" t="s">
        <v>100</v>
      </c>
      <c r="D495" s="229"/>
      <c r="E495" s="229"/>
      <c r="F495" s="229"/>
      <c r="G495" s="229"/>
      <c r="H495" s="229"/>
      <c r="I495" s="229"/>
      <c r="J495" s="229"/>
      <c r="O495" s="101" t="s">
        <v>481</v>
      </c>
    </row>
    <row r="496" spans="2:15" ht="18.75" x14ac:dyDescent="0.3">
      <c r="B496" s="12" t="s">
        <v>335</v>
      </c>
      <c r="C496" s="195" t="s">
        <v>336</v>
      </c>
      <c r="D496" s="228" t="s">
        <v>427</v>
      </c>
      <c r="E496" s="228"/>
      <c r="F496" s="1" t="s">
        <v>1084</v>
      </c>
      <c r="L496" s="12" t="s">
        <v>339</v>
      </c>
      <c r="M496" s="6" t="s">
        <v>99</v>
      </c>
    </row>
    <row r="498" spans="2:15" x14ac:dyDescent="0.25">
      <c r="B498" s="2" t="s">
        <v>341</v>
      </c>
      <c r="C498" s="250" t="s">
        <v>342</v>
      </c>
      <c r="D498" s="250"/>
      <c r="E498" s="250" t="s">
        <v>343</v>
      </c>
      <c r="F498" s="250"/>
      <c r="G498" s="250" t="s">
        <v>954</v>
      </c>
      <c r="H498" s="250"/>
      <c r="I498" s="228" t="s">
        <v>345</v>
      </c>
      <c r="J498" s="228"/>
      <c r="K498" s="228"/>
      <c r="L498" s="228"/>
      <c r="M498" s="228"/>
      <c r="O498" s="101" t="s">
        <v>732</v>
      </c>
    </row>
    <row r="499" spans="2:15" x14ac:dyDescent="0.25">
      <c r="C499" s="251"/>
      <c r="D499" s="251"/>
      <c r="E499" s="251"/>
      <c r="F499" s="251"/>
      <c r="G499" s="251"/>
      <c r="H499" s="251"/>
      <c r="I499" s="7"/>
      <c r="J499" s="7"/>
      <c r="K499" s="7"/>
      <c r="L499" s="7"/>
      <c r="M499" s="7"/>
    </row>
    <row r="500" spans="2:15" x14ac:dyDescent="0.25">
      <c r="B500" s="11" t="s">
        <v>347</v>
      </c>
      <c r="C500" s="252" t="s">
        <v>1085</v>
      </c>
      <c r="D500" s="252"/>
      <c r="E500" s="252" t="s">
        <v>1086</v>
      </c>
      <c r="F500" s="252"/>
      <c r="G500" s="252" t="s">
        <v>1087</v>
      </c>
      <c r="H500" s="252"/>
      <c r="I500" s="14" t="s">
        <v>1088</v>
      </c>
      <c r="J500" s="7"/>
      <c r="K500" s="7"/>
      <c r="L500" s="7"/>
      <c r="M500" s="7"/>
      <c r="O500" s="136" t="e">
        <f>SUM(35.625*#REF!)/175</f>
        <v>#REF!</v>
      </c>
    </row>
    <row r="501" spans="2:15" x14ac:dyDescent="0.25">
      <c r="B501" s="11"/>
      <c r="C501" s="188"/>
      <c r="D501" s="188"/>
      <c r="E501" s="252"/>
      <c r="F501" s="252"/>
      <c r="G501" s="252"/>
      <c r="H501" s="252"/>
      <c r="I501" s="14" t="s">
        <v>1089</v>
      </c>
      <c r="J501" s="7"/>
      <c r="K501" s="7"/>
      <c r="L501" s="7"/>
      <c r="M501" s="7"/>
    </row>
    <row r="502" spans="2:15" x14ac:dyDescent="0.25">
      <c r="B502" s="1" t="s">
        <v>1090</v>
      </c>
      <c r="C502" s="253" t="s">
        <v>1091</v>
      </c>
      <c r="D502" s="253"/>
      <c r="E502" s="253" t="s">
        <v>1092</v>
      </c>
      <c r="F502" s="253"/>
      <c r="G502" s="253" t="s">
        <v>1093</v>
      </c>
      <c r="H502" s="253"/>
      <c r="I502" s="14" t="s">
        <v>1094</v>
      </c>
      <c r="J502" s="7"/>
      <c r="K502" s="7"/>
      <c r="L502" s="7"/>
      <c r="M502" s="7"/>
      <c r="O502" s="98" t="e">
        <f>SUM(7*#REF!)/175</f>
        <v>#REF!</v>
      </c>
    </row>
    <row r="503" spans="2:15" x14ac:dyDescent="0.25">
      <c r="B503" s="1"/>
      <c r="C503" s="189"/>
      <c r="D503" s="189"/>
      <c r="E503" s="253"/>
      <c r="F503" s="253"/>
      <c r="G503" s="253"/>
      <c r="H503" s="253"/>
      <c r="I503" s="14" t="s">
        <v>1095</v>
      </c>
      <c r="J503" s="7"/>
      <c r="K503" s="7"/>
      <c r="L503" s="7"/>
      <c r="M503" s="7"/>
      <c r="O503" s="98"/>
    </row>
    <row r="504" spans="2:15" x14ac:dyDescent="0.25">
      <c r="B504" s="11" t="s">
        <v>652</v>
      </c>
      <c r="C504" s="252" t="s">
        <v>1096</v>
      </c>
      <c r="D504" s="252"/>
      <c r="E504" s="252" t="s">
        <v>851</v>
      </c>
      <c r="F504" s="252"/>
      <c r="G504" s="252" t="s">
        <v>1097</v>
      </c>
      <c r="H504" s="252"/>
      <c r="I504" s="14" t="s">
        <v>1098</v>
      </c>
      <c r="J504" s="7"/>
      <c r="K504" s="7"/>
      <c r="L504" s="7"/>
      <c r="M504" s="7"/>
      <c r="O504" s="98" t="e">
        <f>SUM(3.625*#REF!)/175</f>
        <v>#REF!</v>
      </c>
    </row>
    <row r="505" spans="2:15" x14ac:dyDescent="0.25">
      <c r="B505" s="11"/>
      <c r="C505" s="188"/>
      <c r="D505" s="188"/>
      <c r="E505" s="252"/>
      <c r="F505" s="252"/>
      <c r="G505" s="252"/>
      <c r="H505" s="252"/>
      <c r="I505" s="14" t="s">
        <v>1099</v>
      </c>
      <c r="J505" s="7"/>
      <c r="K505" s="7"/>
      <c r="L505" s="7"/>
      <c r="M505" s="7"/>
      <c r="O505" s="98"/>
    </row>
    <row r="506" spans="2:15" x14ac:dyDescent="0.25">
      <c r="B506" s="1" t="s">
        <v>548</v>
      </c>
      <c r="C506" s="253" t="s">
        <v>1100</v>
      </c>
      <c r="D506" s="253"/>
      <c r="E506" s="253" t="s">
        <v>1101</v>
      </c>
      <c r="F506" s="253"/>
      <c r="G506" s="253" t="s">
        <v>1102</v>
      </c>
      <c r="H506" s="253"/>
      <c r="I506" s="14" t="s">
        <v>1103</v>
      </c>
      <c r="J506" s="7"/>
      <c r="K506" s="7"/>
      <c r="L506" s="7"/>
      <c r="M506" s="7"/>
      <c r="O506" s="102" t="e">
        <f>SUM(7*#REF!)/175</f>
        <v>#REF!</v>
      </c>
    </row>
    <row r="507" spans="2:15" x14ac:dyDescent="0.25">
      <c r="B507" s="1"/>
      <c r="C507" s="189"/>
      <c r="D507" s="189"/>
      <c r="E507" s="253"/>
      <c r="F507" s="253"/>
      <c r="G507" s="253"/>
      <c r="H507" s="253"/>
      <c r="I507" s="14" t="s">
        <v>1099</v>
      </c>
      <c r="J507" s="7"/>
      <c r="K507" s="7"/>
      <c r="L507" s="7"/>
      <c r="M507" s="7"/>
      <c r="O507" s="98"/>
    </row>
    <row r="508" spans="2:15" x14ac:dyDescent="0.25">
      <c r="B508" s="11" t="s">
        <v>1046</v>
      </c>
      <c r="C508" s="252" t="s">
        <v>487</v>
      </c>
      <c r="D508" s="252"/>
      <c r="E508" s="252" t="s">
        <v>1026</v>
      </c>
      <c r="F508" s="252"/>
      <c r="G508" s="252" t="s">
        <v>1104</v>
      </c>
      <c r="H508" s="252"/>
      <c r="I508" s="14" t="s">
        <v>1105</v>
      </c>
      <c r="K508" s="7"/>
      <c r="L508" s="7"/>
      <c r="M508" s="7"/>
      <c r="O508" s="102" t="e">
        <f>SUM(4*#REF!)/175</f>
        <v>#REF!</v>
      </c>
    </row>
    <row r="509" spans="2:15" x14ac:dyDescent="0.25">
      <c r="B509" s="11"/>
      <c r="C509" s="188"/>
      <c r="D509" s="188"/>
      <c r="E509" s="252"/>
      <c r="F509" s="252"/>
      <c r="G509" s="252"/>
      <c r="H509" s="252"/>
      <c r="I509" s="14" t="s">
        <v>1106</v>
      </c>
      <c r="J509" s="7"/>
      <c r="K509" s="7"/>
      <c r="L509" s="7"/>
      <c r="M509" s="7"/>
      <c r="O509" s="98"/>
    </row>
    <row r="510" spans="2:15" x14ac:dyDescent="0.25">
      <c r="B510" s="1" t="s">
        <v>677</v>
      </c>
      <c r="C510" s="253" t="s">
        <v>1107</v>
      </c>
      <c r="D510" s="253"/>
      <c r="E510" s="253" t="s">
        <v>1108</v>
      </c>
      <c r="F510" s="253"/>
      <c r="G510" s="253" t="s">
        <v>1109</v>
      </c>
      <c r="H510" s="253"/>
      <c r="I510" s="14" t="s">
        <v>1110</v>
      </c>
      <c r="J510" s="14"/>
      <c r="K510" s="7"/>
      <c r="L510" s="7"/>
      <c r="M510" s="7"/>
      <c r="O510" s="98" t="e">
        <f>SUM(2.625*#REF!)/175</f>
        <v>#REF!</v>
      </c>
    </row>
    <row r="511" spans="2:15" x14ac:dyDescent="0.25">
      <c r="B511" s="1"/>
      <c r="C511" s="189"/>
      <c r="D511" s="189"/>
      <c r="E511" s="253"/>
      <c r="F511" s="253"/>
      <c r="G511" s="253"/>
      <c r="H511" s="253"/>
      <c r="I511" s="14" t="s">
        <v>1111</v>
      </c>
      <c r="J511" s="14"/>
      <c r="K511" s="7"/>
      <c r="L511" s="7"/>
      <c r="M511" s="7"/>
      <c r="O511" s="98"/>
    </row>
    <row r="512" spans="2:15" x14ac:dyDescent="0.25">
      <c r="B512" s="11" t="s">
        <v>1112</v>
      </c>
      <c r="C512" s="265" t="s">
        <v>971</v>
      </c>
      <c r="D512" s="265"/>
      <c r="E512" s="252" t="s">
        <v>1113</v>
      </c>
      <c r="F512" s="252"/>
      <c r="G512" s="252" t="s">
        <v>1114</v>
      </c>
      <c r="H512" s="252"/>
      <c r="I512" s="14" t="s">
        <v>1115</v>
      </c>
      <c r="K512" s="7"/>
      <c r="L512" s="7"/>
      <c r="M512" s="7"/>
      <c r="O512" s="98" t="e">
        <f>SUM(40.5*#REF!)/175</f>
        <v>#REF!</v>
      </c>
    </row>
    <row r="513" spans="2:15" x14ac:dyDescent="0.25">
      <c r="B513" s="11"/>
      <c r="C513" s="188"/>
      <c r="D513" s="188"/>
      <c r="E513" s="252"/>
      <c r="F513" s="252"/>
      <c r="G513" s="252"/>
      <c r="H513" s="252"/>
      <c r="I513" s="14" t="s">
        <v>1116</v>
      </c>
      <c r="O513" s="98"/>
    </row>
    <row r="514" spans="2:15" x14ac:dyDescent="0.25">
      <c r="B514" s="1" t="s">
        <v>397</v>
      </c>
      <c r="C514" s="253" t="s">
        <v>1117</v>
      </c>
      <c r="D514" s="253"/>
      <c r="E514" s="253" t="s">
        <v>1118</v>
      </c>
      <c r="F514" s="253"/>
      <c r="G514" s="253" t="s">
        <v>1119</v>
      </c>
      <c r="H514" s="253"/>
      <c r="I514" s="14" t="s">
        <v>1120</v>
      </c>
      <c r="O514" s="98">
        <v>0</v>
      </c>
    </row>
    <row r="515" spans="2:15" x14ac:dyDescent="0.25">
      <c r="B515" s="1"/>
      <c r="C515" s="189"/>
      <c r="D515" s="189"/>
      <c r="E515" s="253"/>
      <c r="F515" s="253"/>
      <c r="G515" s="253"/>
      <c r="H515" s="253"/>
      <c r="I515" s="14" t="s">
        <v>1121</v>
      </c>
      <c r="O515" s="98"/>
    </row>
    <row r="516" spans="2:15" x14ac:dyDescent="0.25">
      <c r="B516" s="11" t="s">
        <v>1122</v>
      </c>
      <c r="C516" s="252" t="s">
        <v>399</v>
      </c>
      <c r="D516" s="252"/>
      <c r="E516" s="252" t="s">
        <v>400</v>
      </c>
      <c r="F516" s="252"/>
      <c r="G516" s="252" t="s">
        <v>1019</v>
      </c>
      <c r="H516" s="252"/>
      <c r="I516" s="14" t="s">
        <v>1123</v>
      </c>
      <c r="O516" s="98" t="e">
        <f>SUM(3.5*#REF!)/175</f>
        <v>#REF!</v>
      </c>
    </row>
    <row r="517" spans="2:15" x14ac:dyDescent="0.25">
      <c r="B517" s="11"/>
      <c r="C517" s="188"/>
      <c r="D517" s="188"/>
      <c r="E517" s="252"/>
      <c r="F517" s="252"/>
      <c r="G517" s="252"/>
      <c r="H517" s="252"/>
      <c r="I517" s="14" t="s">
        <v>1124</v>
      </c>
      <c r="O517" s="98"/>
    </row>
    <row r="518" spans="2:15" x14ac:dyDescent="0.25">
      <c r="B518" s="1" t="s">
        <v>1125</v>
      </c>
      <c r="C518" s="253" t="s">
        <v>392</v>
      </c>
      <c r="D518" s="253"/>
      <c r="E518" s="253" t="s">
        <v>786</v>
      </c>
      <c r="F518" s="253"/>
      <c r="G518" s="253" t="s">
        <v>374</v>
      </c>
      <c r="H518" s="253"/>
      <c r="O518" s="102" t="e">
        <f>SUM(1*#REF!)/175</f>
        <v>#REF!</v>
      </c>
    </row>
    <row r="519" spans="2:15" x14ac:dyDescent="0.25">
      <c r="B519" s="1"/>
      <c r="C519" s="189"/>
      <c r="D519" s="189"/>
      <c r="E519" s="253"/>
      <c r="F519" s="253"/>
      <c r="G519" s="253"/>
      <c r="H519" s="253"/>
      <c r="O519" s="98"/>
    </row>
    <row r="520" spans="2:15" x14ac:dyDescent="0.25">
      <c r="B520" s="11" t="s">
        <v>1126</v>
      </c>
      <c r="C520" s="252" t="s">
        <v>513</v>
      </c>
      <c r="D520" s="252"/>
      <c r="E520" s="252" t="s">
        <v>1127</v>
      </c>
      <c r="F520" s="252"/>
      <c r="G520" s="252" t="s">
        <v>1128</v>
      </c>
      <c r="H520" s="252"/>
      <c r="O520" s="102" t="e">
        <f>SUM(2*#REF!)/175</f>
        <v>#REF!</v>
      </c>
    </row>
    <row r="521" spans="2:15" x14ac:dyDescent="0.25">
      <c r="B521" s="11"/>
      <c r="C521" s="13"/>
      <c r="D521" s="188"/>
      <c r="E521" s="188"/>
      <c r="F521" s="188"/>
      <c r="G521" s="188"/>
      <c r="H521" s="188"/>
      <c r="O521" s="98"/>
    </row>
    <row r="522" spans="2:15" x14ac:dyDescent="0.25">
      <c r="B522" s="1" t="s">
        <v>1129</v>
      </c>
      <c r="C522" s="253" t="s">
        <v>1130</v>
      </c>
      <c r="D522" s="253"/>
      <c r="E522" s="253" t="s">
        <v>1131</v>
      </c>
      <c r="F522" s="253"/>
      <c r="G522" s="253" t="s">
        <v>1026</v>
      </c>
      <c r="H522" s="253"/>
      <c r="O522" s="102" t="e">
        <f>SUM(10.5*#REF!)/175</f>
        <v>#REF!</v>
      </c>
    </row>
    <row r="523" spans="2:15" x14ac:dyDescent="0.25">
      <c r="B523" s="1"/>
      <c r="C523" s="189"/>
      <c r="D523" s="189"/>
      <c r="E523" s="189"/>
      <c r="F523" s="189"/>
      <c r="G523" s="189"/>
      <c r="H523" s="189"/>
      <c r="O523" s="98"/>
    </row>
    <row r="524" spans="2:15" x14ac:dyDescent="0.25">
      <c r="B524" s="11" t="s">
        <v>1132</v>
      </c>
      <c r="C524" s="252" t="s">
        <v>1133</v>
      </c>
      <c r="D524" s="252"/>
      <c r="E524" s="252" t="s">
        <v>1134</v>
      </c>
      <c r="F524" s="252"/>
      <c r="G524" s="252" t="s">
        <v>1135</v>
      </c>
      <c r="H524" s="252"/>
      <c r="O524" s="98" t="e">
        <f>SUM(17.1875*#REF!)/175</f>
        <v>#REF!</v>
      </c>
    </row>
    <row r="525" spans="2:15" x14ac:dyDescent="0.25">
      <c r="B525" s="11"/>
      <c r="C525" s="188"/>
      <c r="D525" s="188"/>
      <c r="E525" s="188"/>
      <c r="F525" s="188"/>
      <c r="G525" s="188"/>
      <c r="H525" s="188"/>
      <c r="O525" s="98"/>
    </row>
    <row r="526" spans="2:15" x14ac:dyDescent="0.25">
      <c r="B526" s="1" t="s">
        <v>1136</v>
      </c>
      <c r="C526" s="253" t="s">
        <v>1137</v>
      </c>
      <c r="D526" s="253"/>
      <c r="E526" s="253" t="s">
        <v>1138</v>
      </c>
      <c r="F526" s="253"/>
      <c r="G526" s="253" t="s">
        <v>1037</v>
      </c>
      <c r="H526" s="253"/>
      <c r="O526" s="99">
        <v>0</v>
      </c>
    </row>
    <row r="527" spans="2:15" ht="15.75" thickBot="1" x14ac:dyDescent="0.3">
      <c r="C527" s="251"/>
      <c r="D527" s="251"/>
      <c r="E527" s="251"/>
      <c r="F527" s="251"/>
      <c r="G527" s="251"/>
      <c r="H527" s="251"/>
      <c r="O527" s="98"/>
    </row>
    <row r="528" spans="2:15" x14ac:dyDescent="0.25">
      <c r="B528" s="217" t="s">
        <v>401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9"/>
      <c r="O528" s="100" t="e">
        <f>SUM(O500:O526)</f>
        <v>#REF!</v>
      </c>
    </row>
    <row r="529" spans="2:15" x14ac:dyDescent="0.25">
      <c r="B529" s="3" t="s">
        <v>402</v>
      </c>
      <c r="C529" s="232" t="s">
        <v>403</v>
      </c>
      <c r="D529" s="232"/>
      <c r="E529" s="232" t="s">
        <v>467</v>
      </c>
      <c r="F529" s="232"/>
      <c r="G529" s="232" t="s">
        <v>405</v>
      </c>
      <c r="H529" s="232"/>
      <c r="I529" s="232" t="s">
        <v>406</v>
      </c>
      <c r="J529" s="232"/>
      <c r="K529" s="234" t="s">
        <v>468</v>
      </c>
      <c r="L529" s="235"/>
      <c r="M529" s="236"/>
      <c r="O529" s="98"/>
    </row>
    <row r="530" spans="2:15" ht="15.75" thickBot="1" x14ac:dyDescent="0.3">
      <c r="B530" s="5">
        <v>2.2799999999999998</v>
      </c>
      <c r="C530" s="237">
        <v>3.37</v>
      </c>
      <c r="D530" s="238"/>
      <c r="E530" s="239"/>
      <c r="F530" s="238"/>
      <c r="G530" s="240"/>
      <c r="H530" s="240"/>
      <c r="I530" s="241"/>
      <c r="J530" s="241"/>
      <c r="K530" s="242"/>
      <c r="L530" s="243"/>
      <c r="M530" s="244"/>
      <c r="O530" s="98"/>
    </row>
    <row r="531" spans="2:15" x14ac:dyDescent="0.25">
      <c r="B531" s="1"/>
      <c r="C531" s="1"/>
      <c r="D531" s="1"/>
      <c r="E531" s="1"/>
      <c r="F531" s="1"/>
      <c r="G531" s="1"/>
      <c r="H531" s="1"/>
      <c r="O531" s="98"/>
    </row>
    <row r="532" spans="2:15" x14ac:dyDescent="0.25">
      <c r="B532" s="217" t="s">
        <v>408</v>
      </c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9"/>
    </row>
    <row r="533" spans="2:15" x14ac:dyDescent="0.25">
      <c r="B533" s="122" t="s">
        <v>1139</v>
      </c>
      <c r="C533" s="220" t="s">
        <v>1140</v>
      </c>
      <c r="D533" s="220"/>
      <c r="E533" s="221" t="s">
        <v>1141</v>
      </c>
      <c r="F533" s="221"/>
      <c r="G533" s="221" t="s">
        <v>1142</v>
      </c>
      <c r="H533" s="221"/>
      <c r="I533" s="220" t="s">
        <v>1143</v>
      </c>
      <c r="J533" s="220"/>
      <c r="K533" s="220" t="s">
        <v>827</v>
      </c>
      <c r="L533" s="220"/>
      <c r="M533" s="222"/>
    </row>
    <row r="534" spans="2:15" x14ac:dyDescent="0.25">
      <c r="B534" s="123" t="s">
        <v>1144</v>
      </c>
      <c r="C534" s="225" t="s">
        <v>1145</v>
      </c>
      <c r="D534" s="226"/>
      <c r="E534" s="227" t="s">
        <v>567</v>
      </c>
      <c r="F534" s="227"/>
      <c r="G534" s="223" t="s">
        <v>752</v>
      </c>
      <c r="H534" s="223"/>
      <c r="I534" s="227" t="s">
        <v>950</v>
      </c>
      <c r="J534" s="227"/>
      <c r="K534" s="223" t="s">
        <v>1146</v>
      </c>
      <c r="L534" s="223"/>
      <c r="M534" s="224"/>
    </row>
    <row r="535" spans="2:15" x14ac:dyDescent="0.25">
      <c r="B535" s="123" t="s">
        <v>1147</v>
      </c>
      <c r="C535" s="286" t="s">
        <v>422</v>
      </c>
      <c r="D535" s="287"/>
      <c r="E535" s="227" t="s">
        <v>1148</v>
      </c>
      <c r="F535" s="227"/>
      <c r="G535" s="223" t="s">
        <v>573</v>
      </c>
      <c r="H535" s="223"/>
      <c r="I535" s="223" t="s">
        <v>574</v>
      </c>
      <c r="J535" s="223"/>
      <c r="K535" s="223" t="s">
        <v>575</v>
      </c>
      <c r="L535" s="223"/>
      <c r="M535" s="224"/>
    </row>
    <row r="537" spans="2:15" ht="23.25" x14ac:dyDescent="0.35">
      <c r="B537" s="29" t="s">
        <v>334</v>
      </c>
      <c r="C537" s="229" t="s">
        <v>198</v>
      </c>
      <c r="D537" s="229"/>
      <c r="E537" s="229"/>
      <c r="F537" s="229"/>
      <c r="G537" s="229"/>
      <c r="H537" s="229"/>
      <c r="I537" s="229"/>
      <c r="J537" s="229"/>
    </row>
    <row r="538" spans="2:15" ht="18.75" x14ac:dyDescent="0.3">
      <c r="B538" s="12" t="s">
        <v>335</v>
      </c>
      <c r="C538" s="195" t="s">
        <v>336</v>
      </c>
      <c r="D538" s="228" t="s">
        <v>427</v>
      </c>
      <c r="E538" s="228"/>
      <c r="F538" s="1" t="s">
        <v>804</v>
      </c>
      <c r="L538" s="12" t="s">
        <v>339</v>
      </c>
      <c r="M538" s="6" t="s">
        <v>197</v>
      </c>
    </row>
    <row r="540" spans="2:15" x14ac:dyDescent="0.25">
      <c r="B540" s="2" t="s">
        <v>341</v>
      </c>
      <c r="C540" s="250" t="s">
        <v>342</v>
      </c>
      <c r="D540" s="250"/>
      <c r="E540" s="250" t="s">
        <v>343</v>
      </c>
      <c r="F540" s="250"/>
      <c r="G540" s="250" t="s">
        <v>954</v>
      </c>
      <c r="H540" s="250"/>
      <c r="I540" s="228" t="s">
        <v>345</v>
      </c>
      <c r="J540" s="228"/>
      <c r="K540" s="228"/>
      <c r="L540" s="228"/>
      <c r="M540" s="228"/>
    </row>
    <row r="541" spans="2:15" x14ac:dyDescent="0.25">
      <c r="C541" s="251"/>
      <c r="D541" s="251"/>
      <c r="E541" s="251"/>
      <c r="F541" s="251"/>
      <c r="G541" s="251"/>
      <c r="H541" s="251"/>
      <c r="I541" s="7"/>
      <c r="J541" s="7"/>
      <c r="K541" s="7"/>
      <c r="L541" s="7"/>
      <c r="M541" s="7"/>
    </row>
    <row r="542" spans="2:15" x14ac:dyDescent="0.25">
      <c r="B542" s="11" t="s">
        <v>1149</v>
      </c>
      <c r="C542" s="252" t="s">
        <v>1150</v>
      </c>
      <c r="D542" s="252"/>
      <c r="E542" s="252" t="s">
        <v>1151</v>
      </c>
      <c r="F542" s="252"/>
      <c r="G542" s="252" t="s">
        <v>1152</v>
      </c>
      <c r="H542" s="252"/>
      <c r="I542" s="14" t="s">
        <v>1153</v>
      </c>
      <c r="J542" s="7"/>
      <c r="K542" s="7"/>
      <c r="L542" s="7"/>
      <c r="M542" s="7"/>
    </row>
    <row r="543" spans="2:15" x14ac:dyDescent="0.25">
      <c r="B543" s="11"/>
      <c r="C543" s="188"/>
      <c r="D543" s="188"/>
      <c r="E543" s="252"/>
      <c r="F543" s="252"/>
      <c r="G543" s="252"/>
      <c r="H543" s="252"/>
      <c r="I543" s="14" t="s">
        <v>1154</v>
      </c>
      <c r="J543" s="7"/>
      <c r="K543" s="7"/>
      <c r="L543" s="7"/>
      <c r="M543" s="7"/>
    </row>
    <row r="544" spans="2:15" x14ac:dyDescent="0.25">
      <c r="B544" s="14" t="s">
        <v>1155</v>
      </c>
      <c r="C544" s="253" t="s">
        <v>1156</v>
      </c>
      <c r="D544" s="253"/>
      <c r="E544" s="253" t="s">
        <v>1157</v>
      </c>
      <c r="F544" s="253"/>
      <c r="G544" s="253" t="s">
        <v>1158</v>
      </c>
      <c r="H544" s="253"/>
      <c r="I544" s="14" t="s">
        <v>1159</v>
      </c>
      <c r="J544" s="7"/>
      <c r="K544" s="7"/>
      <c r="L544" s="7"/>
      <c r="M544" s="7"/>
    </row>
    <row r="545" spans="2:13" x14ac:dyDescent="0.25">
      <c r="B545" s="1"/>
      <c r="C545" s="253" t="s">
        <v>1160</v>
      </c>
      <c r="D545" s="253"/>
      <c r="E545" s="253" t="s">
        <v>1161</v>
      </c>
      <c r="F545" s="253"/>
      <c r="G545" s="253" t="s">
        <v>1162</v>
      </c>
      <c r="H545" s="253"/>
      <c r="I545" s="14" t="s">
        <v>1163</v>
      </c>
      <c r="J545" s="7"/>
      <c r="K545" s="7"/>
      <c r="L545" s="7"/>
      <c r="M545" s="7"/>
    </row>
    <row r="546" spans="2:13" x14ac:dyDescent="0.25">
      <c r="B546" s="11" t="s">
        <v>1164</v>
      </c>
      <c r="C546" s="252" t="s">
        <v>1165</v>
      </c>
      <c r="D546" s="252"/>
      <c r="E546" s="252" t="s">
        <v>1166</v>
      </c>
      <c r="F546" s="252"/>
      <c r="G546" s="252" t="s">
        <v>1167</v>
      </c>
      <c r="H546" s="252"/>
      <c r="I546" s="14" t="s">
        <v>1168</v>
      </c>
      <c r="J546" s="7"/>
      <c r="K546" s="7"/>
      <c r="L546" s="7"/>
      <c r="M546" s="7"/>
    </row>
    <row r="547" spans="2:13" x14ac:dyDescent="0.25">
      <c r="B547" s="11"/>
      <c r="C547" s="188"/>
      <c r="D547" s="188"/>
      <c r="E547" s="252"/>
      <c r="F547" s="252"/>
      <c r="G547" s="252"/>
      <c r="H547" s="252"/>
      <c r="I547" s="14" t="s">
        <v>1169</v>
      </c>
      <c r="J547" s="7"/>
      <c r="K547" s="7"/>
      <c r="L547" s="7"/>
      <c r="M547" s="7"/>
    </row>
    <row r="548" spans="2:13" x14ac:dyDescent="0.25">
      <c r="B548" s="1" t="s">
        <v>1170</v>
      </c>
      <c r="C548" s="253" t="s">
        <v>1156</v>
      </c>
      <c r="D548" s="253"/>
      <c r="E548" s="253" t="s">
        <v>1157</v>
      </c>
      <c r="F548" s="253"/>
      <c r="G548" s="253" t="s">
        <v>1158</v>
      </c>
      <c r="H548" s="253"/>
      <c r="I548" s="14" t="s">
        <v>1171</v>
      </c>
      <c r="J548" s="7"/>
      <c r="K548" s="7"/>
      <c r="L548" s="7"/>
      <c r="M548" s="7"/>
    </row>
    <row r="549" spans="2:13" x14ac:dyDescent="0.25">
      <c r="B549" s="1"/>
      <c r="C549" s="189"/>
      <c r="D549" s="189"/>
      <c r="E549" s="253"/>
      <c r="F549" s="253"/>
      <c r="G549" s="253"/>
      <c r="H549" s="253"/>
      <c r="I549" s="14" t="s">
        <v>1172</v>
      </c>
      <c r="J549" s="7"/>
      <c r="K549" s="7"/>
      <c r="L549" s="7"/>
      <c r="M549" s="7"/>
    </row>
    <row r="550" spans="2:13" x14ac:dyDescent="0.25">
      <c r="B550" s="32"/>
      <c r="C550" s="255"/>
      <c r="D550" s="255"/>
      <c r="E550" s="255"/>
      <c r="F550" s="255"/>
      <c r="G550" s="255"/>
      <c r="H550" s="255"/>
      <c r="I550" s="14" t="s">
        <v>1173</v>
      </c>
      <c r="K550" s="7"/>
      <c r="L550" s="7"/>
      <c r="M550" s="7"/>
    </row>
    <row r="551" spans="2:13" x14ac:dyDescent="0.25">
      <c r="B551" s="32"/>
      <c r="C551" s="191"/>
      <c r="D551" s="191"/>
      <c r="E551" s="255"/>
      <c r="F551" s="255"/>
      <c r="G551" s="255"/>
      <c r="H551" s="255"/>
      <c r="I551" s="14" t="s">
        <v>612</v>
      </c>
      <c r="J551" s="7"/>
      <c r="K551" s="7"/>
      <c r="L551" s="7"/>
      <c r="M551" s="7"/>
    </row>
    <row r="552" spans="2:13" ht="15.75" thickBot="1" x14ac:dyDescent="0.3">
      <c r="B552" s="1"/>
      <c r="C552" s="253"/>
      <c r="D552" s="253"/>
      <c r="E552" s="253"/>
      <c r="F552" s="253"/>
      <c r="G552" s="253"/>
      <c r="H552" s="253"/>
      <c r="I552" s="14" t="s">
        <v>1174</v>
      </c>
      <c r="J552" s="14"/>
      <c r="K552" s="7"/>
      <c r="L552" s="7"/>
      <c r="M552" s="7"/>
    </row>
    <row r="553" spans="2:13" x14ac:dyDescent="0.25">
      <c r="B553" s="217" t="s">
        <v>401</v>
      </c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9"/>
    </row>
    <row r="554" spans="2:13" x14ac:dyDescent="0.25">
      <c r="B554" s="3" t="s">
        <v>402</v>
      </c>
      <c r="C554" s="232" t="s">
        <v>403</v>
      </c>
      <c r="D554" s="232"/>
      <c r="E554" s="232" t="s">
        <v>467</v>
      </c>
      <c r="F554" s="232"/>
      <c r="G554" s="232" t="s">
        <v>405</v>
      </c>
      <c r="H554" s="232"/>
      <c r="I554" s="232" t="s">
        <v>406</v>
      </c>
      <c r="J554" s="232"/>
      <c r="K554" s="234" t="s">
        <v>468</v>
      </c>
      <c r="L554" s="235"/>
      <c r="M554" s="236"/>
    </row>
    <row r="555" spans="2:13" ht="15.75" thickBot="1" x14ac:dyDescent="0.3">
      <c r="B555" s="5">
        <v>2.125</v>
      </c>
      <c r="C555" s="237">
        <v>2.7</v>
      </c>
      <c r="D555" s="238"/>
      <c r="E555" s="239"/>
      <c r="F555" s="238"/>
      <c r="G555" s="240"/>
      <c r="H555" s="240"/>
      <c r="I555" s="241"/>
      <c r="J555" s="241"/>
      <c r="K555" s="242"/>
      <c r="L555" s="243"/>
      <c r="M555" s="244"/>
    </row>
    <row r="556" spans="2:13" x14ac:dyDescent="0.25">
      <c r="B556" s="1"/>
      <c r="C556" s="1"/>
      <c r="D556" s="1"/>
      <c r="E556" s="1"/>
      <c r="F556" s="1"/>
      <c r="G556" s="1"/>
      <c r="H556" s="1"/>
    </row>
    <row r="557" spans="2:13" x14ac:dyDescent="0.25">
      <c r="B557" s="217" t="s">
        <v>408</v>
      </c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9"/>
    </row>
    <row r="558" spans="2:13" x14ac:dyDescent="0.25">
      <c r="B558" s="122" t="s">
        <v>1175</v>
      </c>
      <c r="C558" s="220" t="s">
        <v>1176</v>
      </c>
      <c r="D558" s="220"/>
      <c r="E558" s="221" t="s">
        <v>1177</v>
      </c>
      <c r="F558" s="221"/>
      <c r="G558" s="221" t="s">
        <v>1178</v>
      </c>
      <c r="H558" s="221"/>
      <c r="I558" s="220" t="s">
        <v>1179</v>
      </c>
      <c r="J558" s="220"/>
      <c r="K558" s="220" t="s">
        <v>1180</v>
      </c>
      <c r="L558" s="220"/>
      <c r="M558" s="222"/>
    </row>
    <row r="559" spans="2:13" x14ac:dyDescent="0.25">
      <c r="B559" s="123" t="s">
        <v>1181</v>
      </c>
      <c r="C559" s="225" t="s">
        <v>714</v>
      </c>
      <c r="D559" s="226"/>
      <c r="E559" s="227" t="s">
        <v>1182</v>
      </c>
      <c r="F559" s="227"/>
      <c r="G559" s="223" t="s">
        <v>1183</v>
      </c>
      <c r="H559" s="223"/>
      <c r="I559" s="227" t="s">
        <v>569</v>
      </c>
      <c r="J559" s="227"/>
      <c r="K559" s="223" t="s">
        <v>1184</v>
      </c>
      <c r="L559" s="223"/>
      <c r="M559" s="224"/>
    </row>
    <row r="560" spans="2:13" x14ac:dyDescent="0.25">
      <c r="B560" s="123" t="s">
        <v>571</v>
      </c>
      <c r="C560" s="286" t="s">
        <v>572</v>
      </c>
      <c r="D560" s="287"/>
      <c r="E560" s="227" t="s">
        <v>1185</v>
      </c>
      <c r="F560" s="227"/>
      <c r="G560" s="223" t="s">
        <v>1186</v>
      </c>
      <c r="H560" s="223"/>
      <c r="I560" s="223" t="s">
        <v>1187</v>
      </c>
      <c r="J560" s="223"/>
      <c r="K560" s="223" t="s">
        <v>426</v>
      </c>
      <c r="L560" s="223"/>
      <c r="M560" s="224"/>
    </row>
    <row r="562" spans="2:17" ht="23.25" x14ac:dyDescent="0.35">
      <c r="B562" s="29" t="s">
        <v>334</v>
      </c>
      <c r="C562" s="229" t="s">
        <v>40</v>
      </c>
      <c r="D562" s="229"/>
      <c r="E562" s="229"/>
      <c r="F562" s="229"/>
      <c r="G562" s="229"/>
      <c r="H562" s="229"/>
      <c r="I562" s="229"/>
      <c r="J562" s="229"/>
      <c r="O562" s="101" t="s">
        <v>481</v>
      </c>
    </row>
    <row r="563" spans="2:17" ht="18.75" x14ac:dyDescent="0.3">
      <c r="B563" s="12" t="s">
        <v>335</v>
      </c>
      <c r="C563" s="195" t="s">
        <v>336</v>
      </c>
      <c r="D563" s="228" t="s">
        <v>427</v>
      </c>
      <c r="E563" s="228"/>
      <c r="F563" s="14" t="s">
        <v>1188</v>
      </c>
      <c r="L563" s="12" t="s">
        <v>339</v>
      </c>
      <c r="M563" s="6" t="s">
        <v>39</v>
      </c>
    </row>
    <row r="565" spans="2:17" x14ac:dyDescent="0.25">
      <c r="B565" s="2" t="s">
        <v>341</v>
      </c>
      <c r="C565" s="250" t="s">
        <v>342</v>
      </c>
      <c r="D565" s="250"/>
      <c r="E565" s="250" t="s">
        <v>343</v>
      </c>
      <c r="F565" s="250"/>
      <c r="G565" s="250" t="s">
        <v>954</v>
      </c>
      <c r="H565" s="250"/>
      <c r="I565" s="228" t="s">
        <v>345</v>
      </c>
      <c r="J565" s="228"/>
      <c r="K565" s="228"/>
      <c r="L565" s="228"/>
      <c r="M565" s="228"/>
      <c r="O565" s="101" t="s">
        <v>541</v>
      </c>
      <c r="Q565" s="101" t="s">
        <v>1189</v>
      </c>
    </row>
    <row r="566" spans="2:17" x14ac:dyDescent="0.25">
      <c r="C566" s="251"/>
      <c r="D566" s="251"/>
      <c r="E566" s="251"/>
      <c r="F566" s="251"/>
      <c r="G566" s="251"/>
      <c r="H566" s="251"/>
      <c r="I566" s="7"/>
      <c r="J566" s="7"/>
      <c r="K566" s="7"/>
      <c r="L566" s="7"/>
      <c r="M566" s="7"/>
    </row>
    <row r="567" spans="2:17" x14ac:dyDescent="0.25">
      <c r="B567" s="11" t="s">
        <v>1011</v>
      </c>
      <c r="C567" s="252" t="s">
        <v>1190</v>
      </c>
      <c r="D567" s="252"/>
      <c r="E567" s="252" t="s">
        <v>1191</v>
      </c>
      <c r="F567" s="252"/>
      <c r="G567" s="252" t="s">
        <v>1192</v>
      </c>
      <c r="H567" s="252"/>
      <c r="I567" s="14" t="s">
        <v>1015</v>
      </c>
      <c r="J567" s="7"/>
      <c r="K567" s="7"/>
      <c r="L567" s="7"/>
      <c r="M567" s="7"/>
      <c r="O567" s="98" t="e">
        <f>SUM(22.5*#REF!)/175</f>
        <v>#REF!</v>
      </c>
      <c r="Q567" s="98" t="e">
        <f>SUM(O567:O587)</f>
        <v>#REF!</v>
      </c>
    </row>
    <row r="568" spans="2:17" x14ac:dyDescent="0.25">
      <c r="B568" s="11" t="s">
        <v>1016</v>
      </c>
      <c r="C568" s="188"/>
      <c r="D568" s="188"/>
      <c r="E568" s="252"/>
      <c r="F568" s="252"/>
      <c r="G568" s="252"/>
      <c r="H568" s="252"/>
      <c r="I568" s="14" t="s">
        <v>1193</v>
      </c>
      <c r="J568" s="7"/>
      <c r="K568" s="7"/>
      <c r="L568" s="7"/>
      <c r="M568" s="7"/>
    </row>
    <row r="569" spans="2:17" x14ac:dyDescent="0.25">
      <c r="B569" s="1" t="s">
        <v>1018</v>
      </c>
      <c r="C569" s="253" t="s">
        <v>1194</v>
      </c>
      <c r="D569" s="253"/>
      <c r="E569" s="253" t="s">
        <v>355</v>
      </c>
      <c r="F569" s="253"/>
      <c r="G569" s="253" t="s">
        <v>1024</v>
      </c>
      <c r="H569" s="253"/>
      <c r="I569" s="14" t="s">
        <v>1195</v>
      </c>
      <c r="J569" s="7"/>
      <c r="K569" s="7"/>
      <c r="L569" s="7"/>
      <c r="M569" s="7"/>
      <c r="O569" s="102" t="e">
        <f>SUM(3*#REF!)/175</f>
        <v>#REF!</v>
      </c>
    </row>
    <row r="570" spans="2:17" x14ac:dyDescent="0.25">
      <c r="B570" s="1" t="s">
        <v>1023</v>
      </c>
      <c r="C570" s="253" t="s">
        <v>382</v>
      </c>
      <c r="D570" s="253"/>
      <c r="E570" s="253" t="s">
        <v>375</v>
      </c>
      <c r="F570" s="253"/>
      <c r="G570" s="253" t="s">
        <v>383</v>
      </c>
      <c r="H570" s="253"/>
      <c r="I570" s="14" t="s">
        <v>1196</v>
      </c>
      <c r="J570" s="7"/>
      <c r="K570" s="7"/>
      <c r="L570" s="7"/>
      <c r="M570" s="7"/>
    </row>
    <row r="571" spans="2:17" x14ac:dyDescent="0.25">
      <c r="B571" s="11" t="s">
        <v>518</v>
      </c>
      <c r="C571" s="252" t="s">
        <v>1197</v>
      </c>
      <c r="D571" s="252"/>
      <c r="E571" s="252" t="s">
        <v>742</v>
      </c>
      <c r="F571" s="252"/>
      <c r="G571" s="252" t="s">
        <v>1027</v>
      </c>
      <c r="H571" s="252"/>
      <c r="I571" s="14" t="s">
        <v>1198</v>
      </c>
      <c r="J571" s="7"/>
      <c r="K571" s="7"/>
      <c r="L571" s="7"/>
      <c r="M571" s="7"/>
      <c r="O571" s="103" t="e">
        <f>SUM(14*#REF!)/175</f>
        <v>#REF!</v>
      </c>
    </row>
    <row r="572" spans="2:17" x14ac:dyDescent="0.25">
      <c r="B572" s="11"/>
      <c r="C572" s="188"/>
      <c r="D572" s="188"/>
      <c r="E572" s="252"/>
      <c r="F572" s="252"/>
      <c r="G572" s="252"/>
      <c r="H572" s="252"/>
      <c r="I572" s="14" t="s">
        <v>1199</v>
      </c>
      <c r="J572" s="7"/>
      <c r="K572" s="7"/>
      <c r="L572" s="7"/>
      <c r="M572" s="7"/>
    </row>
    <row r="573" spans="2:17" x14ac:dyDescent="0.25">
      <c r="B573" s="1" t="s">
        <v>889</v>
      </c>
      <c r="C573" s="253" t="s">
        <v>1200</v>
      </c>
      <c r="D573" s="253"/>
      <c r="E573" s="253" t="s">
        <v>1201</v>
      </c>
      <c r="F573" s="253"/>
      <c r="G573" s="253" t="s">
        <v>1202</v>
      </c>
      <c r="H573" s="253"/>
      <c r="I573" s="14" t="s">
        <v>1203</v>
      </c>
      <c r="J573" s="7"/>
      <c r="K573" s="7"/>
      <c r="L573" s="7"/>
      <c r="M573" s="7"/>
      <c r="O573" s="102" t="e">
        <f>SUM(16*#REF!)/175</f>
        <v>#REF!</v>
      </c>
    </row>
    <row r="574" spans="2:17" x14ac:dyDescent="0.25">
      <c r="B574" s="1"/>
      <c r="C574" s="189"/>
      <c r="D574" s="189"/>
      <c r="E574" s="253"/>
      <c r="F574" s="253"/>
      <c r="G574" s="253"/>
      <c r="H574" s="253"/>
      <c r="I574" s="14" t="s">
        <v>990</v>
      </c>
      <c r="J574" s="7"/>
      <c r="K574" s="7"/>
      <c r="L574" s="7"/>
      <c r="M574" s="7"/>
    </row>
    <row r="575" spans="2:17" x14ac:dyDescent="0.25">
      <c r="B575" s="11" t="s">
        <v>1046</v>
      </c>
      <c r="C575" s="252" t="s">
        <v>661</v>
      </c>
      <c r="D575" s="252"/>
      <c r="E575" s="252" t="s">
        <v>491</v>
      </c>
      <c r="F575" s="252"/>
      <c r="G575" s="252" t="s">
        <v>1204</v>
      </c>
      <c r="H575" s="252"/>
      <c r="I575" s="14" t="s">
        <v>1205</v>
      </c>
      <c r="K575" s="7"/>
      <c r="L575" s="7"/>
      <c r="M575" s="7"/>
      <c r="O575" s="102" t="e">
        <f>SUM(7*#REF!)/175</f>
        <v>#REF!</v>
      </c>
    </row>
    <row r="576" spans="2:17" x14ac:dyDescent="0.25">
      <c r="B576" s="11"/>
      <c r="C576" s="188"/>
      <c r="D576" s="188"/>
      <c r="E576" s="252"/>
      <c r="F576" s="252"/>
      <c r="G576" s="252"/>
      <c r="H576" s="252"/>
      <c r="I576" s="14" t="s">
        <v>1206</v>
      </c>
      <c r="J576" s="7"/>
      <c r="K576" s="7"/>
      <c r="L576" s="7"/>
      <c r="M576" s="7"/>
    </row>
    <row r="577" spans="2:15" x14ac:dyDescent="0.25">
      <c r="B577" s="1" t="s">
        <v>1207</v>
      </c>
      <c r="C577" s="253" t="s">
        <v>1208</v>
      </c>
      <c r="D577" s="253"/>
      <c r="E577" s="253" t="s">
        <v>1209</v>
      </c>
      <c r="F577" s="253"/>
      <c r="G577" s="253" t="s">
        <v>1210</v>
      </c>
      <c r="H577" s="253"/>
      <c r="I577" s="14" t="s">
        <v>1211</v>
      </c>
      <c r="J577" s="14"/>
      <c r="K577" s="7"/>
      <c r="L577" s="7"/>
      <c r="M577" s="7"/>
      <c r="O577" s="98" t="e">
        <f>SUM(5.5*#REF!)/175</f>
        <v>#REF!</v>
      </c>
    </row>
    <row r="578" spans="2:15" x14ac:dyDescent="0.25">
      <c r="B578" s="1"/>
      <c r="C578" s="189"/>
      <c r="D578" s="189"/>
      <c r="E578" s="253"/>
      <c r="F578" s="253"/>
      <c r="G578" s="253"/>
      <c r="H578" s="253"/>
      <c r="I578" s="14"/>
      <c r="J578" s="14"/>
      <c r="K578" s="7"/>
      <c r="L578" s="7"/>
      <c r="M578" s="7"/>
    </row>
    <row r="579" spans="2:15" x14ac:dyDescent="0.25">
      <c r="B579" s="11" t="s">
        <v>397</v>
      </c>
      <c r="C579" s="265" t="s">
        <v>1212</v>
      </c>
      <c r="D579" s="265"/>
      <c r="E579" s="252" t="s">
        <v>1213</v>
      </c>
      <c r="F579" s="252"/>
      <c r="G579" s="252" t="s">
        <v>1214</v>
      </c>
      <c r="H579" s="252"/>
      <c r="I579" s="14" t="s">
        <v>1215</v>
      </c>
      <c r="K579" s="7"/>
      <c r="L579" s="7"/>
      <c r="M579" s="7"/>
      <c r="O579" s="98">
        <v>0</v>
      </c>
    </row>
    <row r="580" spans="2:15" x14ac:dyDescent="0.25">
      <c r="B580" s="11"/>
      <c r="C580" s="188"/>
      <c r="D580" s="188"/>
      <c r="E580" s="252"/>
      <c r="F580" s="252"/>
      <c r="G580" s="252"/>
      <c r="H580" s="252"/>
      <c r="I580" s="14" t="s">
        <v>1216</v>
      </c>
    </row>
    <row r="581" spans="2:15" x14ac:dyDescent="0.25">
      <c r="B581" s="1" t="s">
        <v>454</v>
      </c>
      <c r="C581" s="253" t="s">
        <v>1217</v>
      </c>
      <c r="D581" s="253"/>
      <c r="E581" s="253" t="s">
        <v>391</v>
      </c>
      <c r="F581" s="253"/>
      <c r="G581" s="253" t="s">
        <v>1218</v>
      </c>
      <c r="H581" s="253"/>
      <c r="I581" s="14"/>
      <c r="O581" s="98" t="e">
        <f>SUM(10.5*#REF!)/175</f>
        <v>#REF!</v>
      </c>
    </row>
    <row r="582" spans="2:15" x14ac:dyDescent="0.25">
      <c r="B582" s="1"/>
      <c r="C582" s="189"/>
      <c r="D582" s="189"/>
      <c r="E582" s="253"/>
      <c r="F582" s="253"/>
      <c r="G582" s="253"/>
      <c r="H582" s="253"/>
    </row>
    <row r="583" spans="2:15" x14ac:dyDescent="0.25">
      <c r="B583" s="11" t="s">
        <v>1219</v>
      </c>
      <c r="C583" s="252" t="s">
        <v>1220</v>
      </c>
      <c r="D583" s="252"/>
      <c r="E583" s="252" t="s">
        <v>1221</v>
      </c>
      <c r="F583" s="252"/>
      <c r="G583" s="252" t="s">
        <v>1222</v>
      </c>
      <c r="H583" s="252"/>
      <c r="O583" s="98" t="e">
        <f>SUM(26*#REF!)/175</f>
        <v>#REF!</v>
      </c>
    </row>
    <row r="584" spans="2:15" x14ac:dyDescent="0.25">
      <c r="B584" s="11"/>
      <c r="C584" s="188"/>
      <c r="D584" s="188"/>
      <c r="E584" s="252"/>
      <c r="F584" s="252"/>
      <c r="G584" s="252"/>
      <c r="H584" s="252"/>
    </row>
    <row r="585" spans="2:15" x14ac:dyDescent="0.25">
      <c r="B585" s="1" t="s">
        <v>515</v>
      </c>
      <c r="C585" s="253" t="s">
        <v>890</v>
      </c>
      <c r="D585" s="253"/>
      <c r="E585" s="253" t="s">
        <v>744</v>
      </c>
      <c r="F585" s="253"/>
      <c r="G585" s="253" t="s">
        <v>1223</v>
      </c>
      <c r="H585" s="253"/>
      <c r="O585" s="102" t="e">
        <f>SUM(5*#REF!)/175</f>
        <v>#REF!</v>
      </c>
    </row>
    <row r="586" spans="2:15" x14ac:dyDescent="0.25">
      <c r="B586" s="1"/>
      <c r="C586" s="189"/>
      <c r="D586" s="189"/>
      <c r="E586" s="253"/>
      <c r="F586" s="253"/>
      <c r="G586" s="253"/>
      <c r="H586" s="253"/>
    </row>
    <row r="587" spans="2:15" x14ac:dyDescent="0.25">
      <c r="B587" s="11" t="s">
        <v>1224</v>
      </c>
      <c r="C587" s="252" t="s">
        <v>890</v>
      </c>
      <c r="D587" s="252"/>
      <c r="E587" s="252" t="s">
        <v>744</v>
      </c>
      <c r="F587" s="252"/>
      <c r="G587" s="252" t="s">
        <v>1223</v>
      </c>
      <c r="H587" s="252"/>
      <c r="O587" s="102" t="e">
        <f>SUM(5*#REF!)/175</f>
        <v>#REF!</v>
      </c>
    </row>
    <row r="588" spans="2:15" x14ac:dyDescent="0.25">
      <c r="B588" s="11"/>
      <c r="C588" s="13"/>
      <c r="D588" s="188"/>
      <c r="E588" s="188"/>
      <c r="F588" s="188"/>
      <c r="G588" s="188"/>
      <c r="H588" s="188"/>
    </row>
    <row r="589" spans="2:15" x14ac:dyDescent="0.25">
      <c r="B589" s="1" t="s">
        <v>1225</v>
      </c>
      <c r="C589" s="253" t="s">
        <v>1226</v>
      </c>
      <c r="D589" s="253"/>
      <c r="E589" s="253" t="s">
        <v>1227</v>
      </c>
      <c r="F589" s="253"/>
      <c r="G589" s="253" t="s">
        <v>1228</v>
      </c>
      <c r="H589" s="253"/>
      <c r="O589" s="98" t="e">
        <f>SUM(14*#REF!)/175</f>
        <v>#REF!</v>
      </c>
    </row>
    <row r="590" spans="2:15" x14ac:dyDescent="0.25">
      <c r="B590" s="1"/>
      <c r="C590" s="189"/>
      <c r="D590" s="189"/>
      <c r="E590" s="189"/>
      <c r="F590" s="189"/>
      <c r="G590" s="189"/>
      <c r="H590" s="189"/>
    </row>
    <row r="591" spans="2:15" x14ac:dyDescent="0.25">
      <c r="B591" s="11" t="s">
        <v>1229</v>
      </c>
      <c r="C591" s="252" t="s">
        <v>1230</v>
      </c>
      <c r="D591" s="252"/>
      <c r="E591" s="252" t="s">
        <v>1231</v>
      </c>
      <c r="F591" s="252"/>
      <c r="G591" s="252" t="s">
        <v>1232</v>
      </c>
      <c r="H591" s="252"/>
      <c r="O591" s="98" t="e">
        <f>SUM(6*#REF!)/175</f>
        <v>#REF!</v>
      </c>
    </row>
    <row r="592" spans="2:15" x14ac:dyDescent="0.25">
      <c r="B592" s="11"/>
      <c r="C592" s="188"/>
      <c r="D592" s="188"/>
      <c r="E592" s="188"/>
      <c r="F592" s="188"/>
      <c r="G592" s="188"/>
      <c r="H592" s="188"/>
    </row>
    <row r="593" spans="2:15" x14ac:dyDescent="0.25">
      <c r="B593" s="1" t="s">
        <v>1233</v>
      </c>
      <c r="C593" s="255" t="s">
        <v>1234</v>
      </c>
      <c r="D593" s="255"/>
      <c r="E593" s="255" t="s">
        <v>1235</v>
      </c>
      <c r="F593" s="255"/>
      <c r="G593" s="255" t="s">
        <v>787</v>
      </c>
      <c r="H593" s="255"/>
      <c r="O593" s="98" t="e">
        <f>SUM(5.25*#REF!)/175</f>
        <v>#REF!</v>
      </c>
    </row>
    <row r="594" spans="2:15" x14ac:dyDescent="0.25">
      <c r="B594" s="1"/>
      <c r="C594" s="191"/>
      <c r="D594" s="191"/>
      <c r="E594" s="191"/>
      <c r="F594" s="191"/>
      <c r="G594" s="191"/>
      <c r="H594" s="191"/>
    </row>
    <row r="595" spans="2:15" x14ac:dyDescent="0.25">
      <c r="B595" s="11" t="s">
        <v>1236</v>
      </c>
      <c r="C595" s="252" t="s">
        <v>1156</v>
      </c>
      <c r="D595" s="252"/>
      <c r="E595" s="252" t="s">
        <v>1157</v>
      </c>
      <c r="F595" s="252"/>
      <c r="G595" s="252" t="s">
        <v>1158</v>
      </c>
      <c r="H595" s="252"/>
      <c r="O595" s="98" t="e">
        <f>#REF!</f>
        <v>#REF!</v>
      </c>
    </row>
    <row r="596" spans="2:15" x14ac:dyDescent="0.25">
      <c r="B596" s="11"/>
      <c r="C596" s="188"/>
      <c r="D596" s="188"/>
      <c r="E596" s="188"/>
      <c r="F596" s="188"/>
      <c r="G596" s="188"/>
      <c r="H596" s="188"/>
    </row>
    <row r="597" spans="2:15" x14ac:dyDescent="0.25">
      <c r="B597" s="1" t="s">
        <v>1237</v>
      </c>
      <c r="C597" s="255" t="s">
        <v>1238</v>
      </c>
      <c r="D597" s="255"/>
      <c r="E597" s="255" t="s">
        <v>1239</v>
      </c>
      <c r="F597" s="255"/>
      <c r="G597" s="255" t="s">
        <v>1240</v>
      </c>
      <c r="H597" s="255"/>
      <c r="O597" s="99" t="e">
        <f>SUM(5.6875*#REF!)/175</f>
        <v>#REF!</v>
      </c>
    </row>
    <row r="598" spans="2:15" ht="15.75" thickBot="1" x14ac:dyDescent="0.3">
      <c r="B598" s="24"/>
      <c r="C598" s="271"/>
      <c r="D598" s="271"/>
      <c r="E598" s="271"/>
      <c r="F598" s="271"/>
      <c r="G598" s="271"/>
      <c r="H598" s="271"/>
    </row>
    <row r="599" spans="2:15" x14ac:dyDescent="0.25">
      <c r="B599" s="217" t="s">
        <v>401</v>
      </c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9"/>
      <c r="O599" s="100" t="e">
        <f>SUM(O567:O597)</f>
        <v>#REF!</v>
      </c>
    </row>
    <row r="600" spans="2:15" x14ac:dyDescent="0.25">
      <c r="B600" s="3" t="s">
        <v>402</v>
      </c>
      <c r="C600" s="232" t="s">
        <v>403</v>
      </c>
      <c r="D600" s="232"/>
      <c r="E600" s="233" t="s">
        <v>1241</v>
      </c>
      <c r="F600" s="233"/>
      <c r="G600" s="232" t="s">
        <v>405</v>
      </c>
      <c r="H600" s="232"/>
      <c r="I600" s="233" t="s">
        <v>404</v>
      </c>
      <c r="J600" s="233"/>
      <c r="K600" s="234" t="s">
        <v>407</v>
      </c>
      <c r="L600" s="235"/>
      <c r="M600" s="236"/>
    </row>
    <row r="601" spans="2:15" ht="15.75" thickBot="1" x14ac:dyDescent="0.3">
      <c r="B601" s="5">
        <v>2</v>
      </c>
      <c r="C601" s="272" t="s">
        <v>1242</v>
      </c>
      <c r="D601" s="273"/>
      <c r="E601" s="239">
        <v>0.434</v>
      </c>
      <c r="F601" s="238"/>
      <c r="G601" s="240"/>
      <c r="H601" s="240"/>
      <c r="I601" s="241">
        <v>0.27800000000000002</v>
      </c>
      <c r="J601" s="241"/>
      <c r="K601" s="242">
        <v>8.5000000000000006E-3</v>
      </c>
      <c r="L601" s="243"/>
      <c r="M601" s="244"/>
    </row>
    <row r="602" spans="2:15" x14ac:dyDescent="0.25">
      <c r="B602" s="1"/>
      <c r="C602" s="1"/>
      <c r="D602" s="1"/>
      <c r="E602" s="1"/>
      <c r="F602" s="1"/>
      <c r="G602" s="1"/>
      <c r="H602" s="1"/>
    </row>
    <row r="603" spans="2:15" x14ac:dyDescent="0.25">
      <c r="B603" s="217" t="s">
        <v>408</v>
      </c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9"/>
    </row>
    <row r="604" spans="2:15" x14ac:dyDescent="0.25">
      <c r="B604" s="122" t="s">
        <v>1243</v>
      </c>
      <c r="C604" s="220" t="s">
        <v>1244</v>
      </c>
      <c r="D604" s="220"/>
      <c r="E604" s="221" t="s">
        <v>1245</v>
      </c>
      <c r="F604" s="221"/>
      <c r="G604" s="221" t="s">
        <v>1246</v>
      </c>
      <c r="H604" s="221"/>
      <c r="I604" s="220" t="s">
        <v>1247</v>
      </c>
      <c r="J604" s="220"/>
      <c r="K604" s="220" t="s">
        <v>1248</v>
      </c>
      <c r="L604" s="220"/>
      <c r="M604" s="222"/>
    </row>
    <row r="605" spans="2:15" x14ac:dyDescent="0.25">
      <c r="B605" s="123" t="s">
        <v>1249</v>
      </c>
      <c r="C605" s="225" t="s">
        <v>1250</v>
      </c>
      <c r="D605" s="226"/>
      <c r="E605" s="227" t="s">
        <v>1251</v>
      </c>
      <c r="F605" s="227"/>
      <c r="G605" s="223" t="s">
        <v>752</v>
      </c>
      <c r="H605" s="223"/>
      <c r="I605" s="227" t="s">
        <v>1252</v>
      </c>
      <c r="J605" s="227"/>
      <c r="K605" s="223" t="s">
        <v>1253</v>
      </c>
      <c r="L605" s="223"/>
      <c r="M605" s="224"/>
    </row>
    <row r="606" spans="2:15" x14ac:dyDescent="0.25">
      <c r="B606" s="123" t="s">
        <v>1254</v>
      </c>
      <c r="C606" s="286" t="s">
        <v>1255</v>
      </c>
      <c r="D606" s="287"/>
      <c r="E606" s="227" t="s">
        <v>1256</v>
      </c>
      <c r="F606" s="227"/>
      <c r="G606" s="223" t="s">
        <v>1257</v>
      </c>
      <c r="H606" s="223"/>
      <c r="I606" s="223" t="s">
        <v>1258</v>
      </c>
      <c r="J606" s="223"/>
      <c r="K606" s="223" t="s">
        <v>426</v>
      </c>
      <c r="L606" s="223"/>
      <c r="M606" s="224"/>
    </row>
    <row r="608" spans="2:15" ht="23.25" x14ac:dyDescent="0.35">
      <c r="B608" s="29" t="s">
        <v>334</v>
      </c>
      <c r="C608" s="229" t="s">
        <v>144</v>
      </c>
      <c r="D608" s="229"/>
      <c r="E608" s="229"/>
      <c r="F608" s="229"/>
      <c r="G608" s="229"/>
      <c r="H608" s="229"/>
      <c r="I608" s="229"/>
      <c r="J608" s="229"/>
      <c r="O608" s="101" t="s">
        <v>481</v>
      </c>
    </row>
    <row r="609" spans="2:15" ht="18.75" x14ac:dyDescent="0.3">
      <c r="B609" s="12" t="s">
        <v>335</v>
      </c>
      <c r="C609" s="195" t="s">
        <v>336</v>
      </c>
      <c r="D609" s="228" t="s">
        <v>427</v>
      </c>
      <c r="E609" s="228"/>
      <c r="F609" s="1" t="s">
        <v>1259</v>
      </c>
      <c r="L609" s="12" t="s">
        <v>339</v>
      </c>
      <c r="M609" s="6" t="s">
        <v>143</v>
      </c>
    </row>
    <row r="611" spans="2:15" x14ac:dyDescent="0.25">
      <c r="B611" s="2" t="s">
        <v>341</v>
      </c>
      <c r="C611" s="250" t="s">
        <v>1260</v>
      </c>
      <c r="D611" s="250"/>
      <c r="E611" s="250" t="s">
        <v>1261</v>
      </c>
      <c r="F611" s="250"/>
      <c r="G611" s="250" t="s">
        <v>344</v>
      </c>
      <c r="H611" s="250"/>
      <c r="I611" s="228" t="s">
        <v>345</v>
      </c>
      <c r="J611" s="228"/>
      <c r="K611" s="228"/>
      <c r="L611" s="228"/>
      <c r="M611" s="228"/>
      <c r="O611" s="101" t="s">
        <v>1262</v>
      </c>
    </row>
    <row r="612" spans="2:15" x14ac:dyDescent="0.25">
      <c r="C612" s="251"/>
      <c r="D612" s="251"/>
      <c r="E612" s="251"/>
      <c r="F612" s="251"/>
      <c r="G612" s="251"/>
      <c r="H612" s="251"/>
      <c r="I612" s="7"/>
      <c r="J612" s="7"/>
      <c r="K612" s="7"/>
      <c r="L612" s="7"/>
      <c r="M612" s="7"/>
    </row>
    <row r="613" spans="2:15" x14ac:dyDescent="0.25">
      <c r="B613" s="11" t="s">
        <v>347</v>
      </c>
      <c r="C613" s="252" t="s">
        <v>1263</v>
      </c>
      <c r="D613" s="252"/>
      <c r="E613" s="252" t="s">
        <v>1264</v>
      </c>
      <c r="F613" s="252"/>
      <c r="G613" s="252" t="s">
        <v>1013</v>
      </c>
      <c r="H613" s="252"/>
      <c r="I613" s="14" t="s">
        <v>1265</v>
      </c>
      <c r="J613" s="7"/>
      <c r="K613" s="7"/>
      <c r="L613" s="7"/>
      <c r="M613" s="7"/>
      <c r="O613" s="98" t="e">
        <f>SUM(25.5*#REF!)/200</f>
        <v>#REF!</v>
      </c>
    </row>
    <row r="614" spans="2:15" x14ac:dyDescent="0.25">
      <c r="B614" s="11" t="s">
        <v>1266</v>
      </c>
      <c r="C614" s="188"/>
      <c r="D614" s="188"/>
      <c r="E614" s="188"/>
      <c r="F614" s="188"/>
      <c r="G614" s="188"/>
      <c r="H614" s="188"/>
      <c r="I614" s="14" t="s">
        <v>1267</v>
      </c>
      <c r="J614" s="7"/>
      <c r="K614" s="7"/>
      <c r="L614" s="7"/>
      <c r="M614" s="7"/>
    </row>
    <row r="615" spans="2:15" x14ac:dyDescent="0.25">
      <c r="B615" s="1" t="s">
        <v>372</v>
      </c>
      <c r="C615" s="253" t="s">
        <v>399</v>
      </c>
      <c r="D615" s="253"/>
      <c r="E615" s="253" t="s">
        <v>1042</v>
      </c>
      <c r="F615" s="253"/>
      <c r="G615" s="253" t="s">
        <v>1019</v>
      </c>
      <c r="H615" s="253"/>
      <c r="I615" s="14" t="s">
        <v>1268</v>
      </c>
      <c r="J615" s="7"/>
      <c r="K615" s="7"/>
      <c r="L615" s="7"/>
      <c r="M615" s="7"/>
      <c r="O615" s="98" t="e">
        <f>SUM(3.5*#REF!)/200</f>
        <v>#REF!</v>
      </c>
    </row>
    <row r="616" spans="2:15" x14ac:dyDescent="0.25">
      <c r="B616" s="1"/>
      <c r="C616" s="253"/>
      <c r="D616" s="253"/>
      <c r="E616" s="253"/>
      <c r="F616" s="253"/>
      <c r="G616" s="253"/>
      <c r="H616" s="253"/>
      <c r="I616" s="14" t="s">
        <v>1269</v>
      </c>
      <c r="J616" s="7"/>
      <c r="K616" s="7"/>
      <c r="L616" s="7"/>
      <c r="M616" s="7"/>
    </row>
    <row r="617" spans="2:15" x14ac:dyDescent="0.25">
      <c r="B617" s="11" t="s">
        <v>378</v>
      </c>
      <c r="C617" s="252" t="s">
        <v>786</v>
      </c>
      <c r="D617" s="252"/>
      <c r="E617" s="252" t="s">
        <v>382</v>
      </c>
      <c r="F617" s="252"/>
      <c r="G617" s="252" t="s">
        <v>789</v>
      </c>
      <c r="H617" s="252"/>
      <c r="I617" s="14" t="s">
        <v>1270</v>
      </c>
      <c r="J617" s="7"/>
      <c r="K617" s="7"/>
      <c r="L617" s="7"/>
      <c r="M617" s="7"/>
      <c r="O617" s="98" t="e">
        <f>SUM(1.25*#REF!)/200</f>
        <v>#REF!</v>
      </c>
    </row>
    <row r="618" spans="2:15" x14ac:dyDescent="0.25">
      <c r="B618" s="11"/>
      <c r="C618" s="188"/>
      <c r="D618" s="188"/>
      <c r="E618" s="188"/>
      <c r="F618" s="188"/>
      <c r="G618" s="188"/>
      <c r="H618" s="188"/>
      <c r="I618" s="14" t="s">
        <v>511</v>
      </c>
      <c r="J618" s="7"/>
      <c r="K618" s="7"/>
      <c r="L618" s="7"/>
      <c r="M618" s="7"/>
    </row>
    <row r="619" spans="2:15" x14ac:dyDescent="0.25">
      <c r="B619" s="1" t="s">
        <v>389</v>
      </c>
      <c r="C619" s="253" t="s">
        <v>486</v>
      </c>
      <c r="D619" s="253"/>
      <c r="E619" s="253" t="s">
        <v>1271</v>
      </c>
      <c r="F619" s="253"/>
      <c r="G619" s="253" t="s">
        <v>880</v>
      </c>
      <c r="H619" s="253"/>
      <c r="I619" s="14" t="s">
        <v>1272</v>
      </c>
      <c r="J619" s="7"/>
      <c r="K619" s="7"/>
      <c r="L619" s="7"/>
      <c r="M619" s="7"/>
      <c r="O619" s="102" t="e">
        <f>SUM(1*#REF!)/200</f>
        <v>#REF!</v>
      </c>
    </row>
    <row r="620" spans="2:15" x14ac:dyDescent="0.25">
      <c r="B620" s="1"/>
      <c r="C620" s="189"/>
      <c r="D620" s="189"/>
      <c r="E620" s="189"/>
      <c r="F620" s="189"/>
      <c r="G620" s="189"/>
      <c r="H620" s="189"/>
      <c r="I620" s="14" t="s">
        <v>1273</v>
      </c>
      <c r="J620" s="7"/>
      <c r="K620" s="7"/>
      <c r="L620" s="7"/>
      <c r="M620" s="7"/>
    </row>
    <row r="621" spans="2:15" x14ac:dyDescent="0.25">
      <c r="B621" s="11" t="s">
        <v>397</v>
      </c>
      <c r="C621" s="252" t="s">
        <v>1274</v>
      </c>
      <c r="D621" s="252"/>
      <c r="E621" s="252" t="s">
        <v>1275</v>
      </c>
      <c r="F621" s="252"/>
      <c r="G621" s="252" t="s">
        <v>1276</v>
      </c>
      <c r="H621" s="252"/>
      <c r="I621" s="14" t="s">
        <v>1277</v>
      </c>
      <c r="K621" s="7"/>
      <c r="L621" s="7"/>
      <c r="M621" s="7"/>
      <c r="O621" s="98">
        <v>0</v>
      </c>
    </row>
    <row r="622" spans="2:15" x14ac:dyDescent="0.25">
      <c r="B622" s="11"/>
      <c r="C622" s="188"/>
      <c r="D622" s="188"/>
      <c r="E622" s="188"/>
      <c r="F622" s="188"/>
      <c r="G622" s="188"/>
      <c r="H622" s="188"/>
      <c r="I622" s="14" t="s">
        <v>1278</v>
      </c>
      <c r="J622" s="7"/>
      <c r="K622" s="7"/>
      <c r="L622" s="7"/>
      <c r="M622" s="7"/>
    </row>
    <row r="623" spans="2:15" x14ac:dyDescent="0.25">
      <c r="B623" s="1" t="s">
        <v>1112</v>
      </c>
      <c r="C623" s="253" t="s">
        <v>390</v>
      </c>
      <c r="D623" s="253"/>
      <c r="E623" s="253" t="s">
        <v>1279</v>
      </c>
      <c r="F623" s="253"/>
      <c r="G623" s="253" t="s">
        <v>1280</v>
      </c>
      <c r="H623" s="253"/>
      <c r="I623" s="14" t="s">
        <v>1281</v>
      </c>
      <c r="J623" s="14"/>
      <c r="K623" s="7"/>
      <c r="L623" s="7"/>
      <c r="M623" s="7"/>
      <c r="O623" s="98" t="e">
        <f>SUM(0.5*#REF!)/200</f>
        <v>#REF!</v>
      </c>
    </row>
    <row r="624" spans="2:15" x14ac:dyDescent="0.25">
      <c r="B624" s="1"/>
      <c r="C624" s="189"/>
      <c r="D624" s="189"/>
      <c r="E624" s="189"/>
      <c r="F624" s="189"/>
      <c r="G624" s="189"/>
      <c r="H624" s="189"/>
      <c r="I624" s="14" t="s">
        <v>1282</v>
      </c>
      <c r="J624" s="14"/>
      <c r="K624" s="7"/>
      <c r="L624" s="7"/>
      <c r="M624" s="7"/>
    </row>
    <row r="625" spans="2:15" x14ac:dyDescent="0.25">
      <c r="B625" s="11" t="s">
        <v>1283</v>
      </c>
      <c r="C625" s="265" t="s">
        <v>1284</v>
      </c>
      <c r="D625" s="265"/>
      <c r="E625" s="265" t="s">
        <v>602</v>
      </c>
      <c r="F625" s="265"/>
      <c r="G625" s="265" t="s">
        <v>1020</v>
      </c>
      <c r="H625" s="265"/>
      <c r="I625" s="14" t="s">
        <v>1285</v>
      </c>
      <c r="K625" s="7"/>
      <c r="L625" s="7"/>
      <c r="M625" s="7"/>
      <c r="O625" s="98" t="e">
        <f>SUM(4.3*#REF!)/200</f>
        <v>#REF!</v>
      </c>
    </row>
    <row r="626" spans="2:15" x14ac:dyDescent="0.25">
      <c r="B626" s="11"/>
      <c r="C626" s="188"/>
      <c r="D626" s="188"/>
      <c r="E626" s="188"/>
      <c r="F626" s="188"/>
      <c r="G626" s="188"/>
      <c r="H626" s="188"/>
      <c r="I626" s="14" t="s">
        <v>1286</v>
      </c>
    </row>
    <row r="627" spans="2:15" x14ac:dyDescent="0.25">
      <c r="B627" s="1" t="s">
        <v>1287</v>
      </c>
      <c r="C627" s="253" t="s">
        <v>1284</v>
      </c>
      <c r="D627" s="253"/>
      <c r="E627" s="253" t="s">
        <v>602</v>
      </c>
      <c r="F627" s="253"/>
      <c r="G627" s="253" t="s">
        <v>1020</v>
      </c>
      <c r="H627" s="253"/>
      <c r="I627" s="14" t="s">
        <v>1288</v>
      </c>
      <c r="O627" s="98" t="e">
        <f>SUM(#REF!)/200</f>
        <v>#REF!</v>
      </c>
    </row>
    <row r="628" spans="2:15" x14ac:dyDescent="0.25">
      <c r="B628" s="1" t="s">
        <v>1289</v>
      </c>
      <c r="C628" s="253" t="s">
        <v>789</v>
      </c>
      <c r="D628" s="253"/>
      <c r="E628" s="253" t="s">
        <v>1194</v>
      </c>
      <c r="F628" s="253"/>
      <c r="G628" s="253" t="s">
        <v>355</v>
      </c>
      <c r="H628" s="253"/>
      <c r="I628" s="14" t="s">
        <v>1290</v>
      </c>
    </row>
    <row r="629" spans="2:15" x14ac:dyDescent="0.25">
      <c r="B629" s="11" t="s">
        <v>396</v>
      </c>
      <c r="C629" s="252" t="s">
        <v>789</v>
      </c>
      <c r="D629" s="252"/>
      <c r="E629" s="252" t="s">
        <v>383</v>
      </c>
      <c r="F629" s="252"/>
      <c r="G629" s="252" t="s">
        <v>398</v>
      </c>
      <c r="H629" s="252"/>
      <c r="I629" s="14" t="s">
        <v>1291</v>
      </c>
      <c r="O629" s="102" t="e">
        <f>SUM(2*#REF!)/200</f>
        <v>#REF!</v>
      </c>
    </row>
    <row r="630" spans="2:15" x14ac:dyDescent="0.25">
      <c r="B630" s="11"/>
      <c r="C630" s="188"/>
      <c r="D630" s="188"/>
      <c r="E630" s="188"/>
      <c r="F630" s="188"/>
      <c r="G630" s="188"/>
      <c r="H630" s="188"/>
      <c r="I630" s="14" t="s">
        <v>1292</v>
      </c>
    </row>
    <row r="631" spans="2:15" x14ac:dyDescent="0.25">
      <c r="B631" s="1" t="s">
        <v>354</v>
      </c>
      <c r="C631" s="253" t="s">
        <v>399</v>
      </c>
      <c r="D631" s="253"/>
      <c r="E631" s="253" t="s">
        <v>1019</v>
      </c>
      <c r="F631" s="253"/>
      <c r="G631" s="253" t="s">
        <v>1208</v>
      </c>
      <c r="H631" s="253"/>
      <c r="I631" s="14" t="s">
        <v>1293</v>
      </c>
      <c r="O631" s="98" t="e">
        <f>SUM(3.5*#REF!)/200</f>
        <v>#REF!</v>
      </c>
    </row>
    <row r="632" spans="2:15" x14ac:dyDescent="0.25">
      <c r="B632" s="1"/>
      <c r="C632" s="189"/>
      <c r="D632" s="189"/>
      <c r="E632" s="189"/>
      <c r="F632" s="189"/>
      <c r="G632" s="189"/>
      <c r="H632" s="189"/>
      <c r="I632" s="14" t="s">
        <v>1294</v>
      </c>
    </row>
    <row r="633" spans="2:15" x14ac:dyDescent="0.25">
      <c r="B633" s="11" t="s">
        <v>1046</v>
      </c>
      <c r="C633" s="252" t="s">
        <v>1295</v>
      </c>
      <c r="D633" s="252"/>
      <c r="E633" s="252" t="s">
        <v>1296</v>
      </c>
      <c r="F633" s="252"/>
      <c r="G633" s="252" t="s">
        <v>513</v>
      </c>
      <c r="H633" s="252"/>
      <c r="I633" s="14" t="s">
        <v>1297</v>
      </c>
      <c r="O633" s="103" t="e">
        <f>SUM(1.25*#REF!)/200</f>
        <v>#REF!</v>
      </c>
    </row>
    <row r="634" spans="2:15" x14ac:dyDescent="0.25">
      <c r="B634" s="11"/>
      <c r="C634" s="188"/>
      <c r="D634" s="188"/>
      <c r="E634" s="188"/>
      <c r="F634" s="188"/>
      <c r="G634" s="188"/>
      <c r="H634" s="188"/>
      <c r="I634" s="14" t="s">
        <v>1298</v>
      </c>
    </row>
    <row r="635" spans="2:15" x14ac:dyDescent="0.25">
      <c r="B635" s="1" t="s">
        <v>397</v>
      </c>
      <c r="C635" s="253" t="s">
        <v>789</v>
      </c>
      <c r="D635" s="253"/>
      <c r="E635" s="253" t="s">
        <v>383</v>
      </c>
      <c r="F635" s="253"/>
      <c r="G635" s="253" t="s">
        <v>398</v>
      </c>
      <c r="H635" s="253"/>
      <c r="I635" s="14" t="s">
        <v>1299</v>
      </c>
      <c r="O635" s="98">
        <v>0</v>
      </c>
    </row>
    <row r="636" spans="2:15" x14ac:dyDescent="0.25">
      <c r="B636" s="1"/>
      <c r="C636" s="189"/>
      <c r="D636" s="189"/>
      <c r="E636" s="189"/>
      <c r="F636" s="189"/>
      <c r="G636" s="189"/>
      <c r="H636" s="189"/>
      <c r="I636" s="14" t="s">
        <v>1300</v>
      </c>
    </row>
    <row r="637" spans="2:15" x14ac:dyDescent="0.25">
      <c r="B637" s="11" t="s">
        <v>393</v>
      </c>
      <c r="C637" s="252" t="s">
        <v>789</v>
      </c>
      <c r="D637" s="252"/>
      <c r="E637" s="252" t="s">
        <v>1194</v>
      </c>
      <c r="F637" s="252"/>
      <c r="G637" s="252" t="s">
        <v>355</v>
      </c>
      <c r="H637" s="252"/>
      <c r="I637" s="14" t="s">
        <v>1301</v>
      </c>
      <c r="O637" s="102" t="e">
        <f>SUM(2*#REF!)/200</f>
        <v>#REF!</v>
      </c>
    </row>
    <row r="638" spans="2:15" x14ac:dyDescent="0.25">
      <c r="B638" s="11"/>
      <c r="C638" s="188"/>
      <c r="D638" s="188"/>
      <c r="E638" s="188"/>
      <c r="F638" s="188"/>
      <c r="G638" s="188"/>
      <c r="H638" s="188"/>
      <c r="I638" s="14" t="s">
        <v>1302</v>
      </c>
    </row>
    <row r="639" spans="2:15" x14ac:dyDescent="0.25">
      <c r="B639" s="1" t="s">
        <v>548</v>
      </c>
      <c r="C639" s="253" t="s">
        <v>486</v>
      </c>
      <c r="D639" s="253"/>
      <c r="E639" s="253" t="s">
        <v>1271</v>
      </c>
      <c r="F639" s="253"/>
      <c r="G639" s="253" t="s">
        <v>880</v>
      </c>
      <c r="H639" s="253"/>
      <c r="I639" s="14" t="s">
        <v>1303</v>
      </c>
      <c r="O639" s="103" t="e">
        <f>SUM(1*#REF!)/200</f>
        <v>#REF!</v>
      </c>
    </row>
    <row r="640" spans="2:15" x14ac:dyDescent="0.25">
      <c r="B640" s="1"/>
      <c r="C640" s="189"/>
      <c r="D640" s="189"/>
      <c r="E640" s="189"/>
      <c r="F640" s="189"/>
      <c r="G640" s="189"/>
      <c r="H640" s="189"/>
      <c r="I640" s="14" t="s">
        <v>1304</v>
      </c>
    </row>
    <row r="641" spans="2:15" x14ac:dyDescent="0.25">
      <c r="B641" s="11" t="s">
        <v>1305</v>
      </c>
      <c r="C641" s="252" t="s">
        <v>1306</v>
      </c>
      <c r="D641" s="252"/>
      <c r="E641" s="252" t="s">
        <v>1307</v>
      </c>
      <c r="F641" s="252"/>
      <c r="G641" s="252" t="s">
        <v>1308</v>
      </c>
      <c r="H641" s="252"/>
      <c r="I641" s="14" t="s">
        <v>1309</v>
      </c>
      <c r="O641" s="98" t="e">
        <f>SUM(7*#REF!)/200</f>
        <v>#REF!</v>
      </c>
    </row>
    <row r="642" spans="2:15" x14ac:dyDescent="0.25">
      <c r="B642" s="11"/>
      <c r="C642" s="188"/>
      <c r="D642" s="188"/>
      <c r="E642" s="188"/>
      <c r="F642" s="188"/>
      <c r="G642" s="188"/>
      <c r="H642" s="188"/>
    </row>
    <row r="643" spans="2:15" x14ac:dyDescent="0.25">
      <c r="B643" s="1" t="s">
        <v>1310</v>
      </c>
      <c r="C643" s="253" t="s">
        <v>1311</v>
      </c>
      <c r="D643" s="253"/>
      <c r="E643" s="253" t="s">
        <v>1312</v>
      </c>
      <c r="F643" s="253"/>
      <c r="G643" s="253" t="s">
        <v>1313</v>
      </c>
      <c r="H643" s="253"/>
      <c r="O643" s="98" t="e">
        <f>SUM(7.3*#REF!)/200</f>
        <v>#REF!</v>
      </c>
    </row>
    <row r="644" spans="2:15" x14ac:dyDescent="0.25">
      <c r="B644" s="1"/>
      <c r="C644" s="189"/>
      <c r="D644" s="189"/>
      <c r="E644" s="189"/>
      <c r="F644" s="189"/>
      <c r="G644" s="189"/>
      <c r="H644" s="189"/>
    </row>
    <row r="645" spans="2:15" x14ac:dyDescent="0.25">
      <c r="B645" s="11" t="s">
        <v>1314</v>
      </c>
      <c r="C645" s="252" t="s">
        <v>1311</v>
      </c>
      <c r="D645" s="252"/>
      <c r="E645" s="252" t="s">
        <v>1312</v>
      </c>
      <c r="F645" s="252"/>
      <c r="G645" s="252" t="s">
        <v>1313</v>
      </c>
      <c r="H645" s="252"/>
      <c r="O645" s="98" t="e">
        <f>SUM(7.3*#REF!)/200</f>
        <v>#REF!</v>
      </c>
    </row>
    <row r="646" spans="2:15" x14ac:dyDescent="0.25">
      <c r="B646" s="11"/>
      <c r="C646" s="188"/>
      <c r="D646" s="188"/>
      <c r="E646" s="188"/>
      <c r="F646" s="188"/>
      <c r="G646" s="188"/>
      <c r="H646" s="188"/>
    </row>
    <row r="647" spans="2:15" x14ac:dyDescent="0.25">
      <c r="B647" s="32" t="s">
        <v>1315</v>
      </c>
      <c r="C647" s="255" t="s">
        <v>1316</v>
      </c>
      <c r="D647" s="255"/>
      <c r="E647" s="255" t="s">
        <v>1317</v>
      </c>
      <c r="F647" s="255"/>
      <c r="G647" s="255" t="s">
        <v>1318</v>
      </c>
      <c r="H647" s="255"/>
      <c r="O647" s="98" t="e">
        <f>SUM(32.25*#REF!)/200</f>
        <v>#REF!</v>
      </c>
    </row>
    <row r="648" spans="2:15" x14ac:dyDescent="0.25">
      <c r="B648" s="32"/>
      <c r="C648" s="31"/>
      <c r="D648" s="191"/>
      <c r="E648" s="31"/>
      <c r="F648" s="191"/>
      <c r="G648" s="31"/>
      <c r="H648" s="191"/>
    </row>
    <row r="649" spans="2:15" x14ac:dyDescent="0.25">
      <c r="B649" s="11" t="s">
        <v>397</v>
      </c>
      <c r="C649" s="252" t="s">
        <v>1319</v>
      </c>
      <c r="D649" s="252"/>
      <c r="E649" s="252" t="s">
        <v>1320</v>
      </c>
      <c r="F649" s="252"/>
      <c r="G649" s="252" t="s">
        <v>1321</v>
      </c>
      <c r="H649" s="252"/>
      <c r="O649" s="98">
        <v>0</v>
      </c>
    </row>
    <row r="650" spans="2:15" x14ac:dyDescent="0.25">
      <c r="B650" s="11"/>
      <c r="C650" s="188"/>
      <c r="D650" s="188"/>
      <c r="E650" s="188"/>
      <c r="F650" s="188"/>
      <c r="G650" s="188"/>
      <c r="H650" s="188"/>
    </row>
    <row r="651" spans="2:15" x14ac:dyDescent="0.25">
      <c r="B651" s="32" t="s">
        <v>1322</v>
      </c>
      <c r="C651" s="255" t="s">
        <v>437</v>
      </c>
      <c r="D651" s="255"/>
      <c r="E651" s="255" t="s">
        <v>757</v>
      </c>
      <c r="F651" s="255"/>
      <c r="G651" s="255" t="s">
        <v>1323</v>
      </c>
      <c r="H651" s="255"/>
      <c r="O651" s="102" t="e">
        <f>SUM(3*#REF!)/200</f>
        <v>#REF!</v>
      </c>
    </row>
    <row r="652" spans="2:15" x14ac:dyDescent="0.25">
      <c r="B652" s="32"/>
      <c r="C652" s="191"/>
      <c r="D652" s="191"/>
      <c r="E652" s="191"/>
      <c r="F652" s="191"/>
      <c r="G652" s="191"/>
      <c r="H652" s="191"/>
    </row>
    <row r="653" spans="2:15" x14ac:dyDescent="0.25">
      <c r="B653" s="11" t="s">
        <v>1324</v>
      </c>
      <c r="C653" s="252" t="s">
        <v>390</v>
      </c>
      <c r="D653" s="252"/>
      <c r="E653" s="252" t="s">
        <v>1325</v>
      </c>
      <c r="F653" s="252"/>
      <c r="G653" s="252" t="s">
        <v>1326</v>
      </c>
      <c r="H653" s="252"/>
      <c r="O653" s="102" t="e">
        <f>SUM(0.5*#REF!)/200</f>
        <v>#REF!</v>
      </c>
    </row>
    <row r="654" spans="2:15" x14ac:dyDescent="0.25">
      <c r="B654" s="11"/>
      <c r="C654" s="188"/>
      <c r="D654" s="188"/>
      <c r="E654" s="188"/>
      <c r="F654" s="188"/>
      <c r="G654" s="188"/>
      <c r="H654" s="188"/>
    </row>
    <row r="655" spans="2:15" x14ac:dyDescent="0.25">
      <c r="B655" s="32" t="s">
        <v>1122</v>
      </c>
      <c r="C655" s="255" t="s">
        <v>390</v>
      </c>
      <c r="D655" s="255"/>
      <c r="E655" s="255" t="s">
        <v>391</v>
      </c>
      <c r="F655" s="255"/>
      <c r="G655" s="255" t="s">
        <v>1327</v>
      </c>
      <c r="H655" s="255"/>
      <c r="O655" s="102" t="e">
        <f>SUM(0.5*#REF!)/200</f>
        <v>#REF!</v>
      </c>
    </row>
    <row r="656" spans="2:15" x14ac:dyDescent="0.25">
      <c r="B656" s="32"/>
      <c r="C656" s="191"/>
      <c r="D656" s="191"/>
      <c r="E656" s="191"/>
      <c r="F656" s="191"/>
      <c r="G656" s="191"/>
      <c r="H656" s="191"/>
    </row>
    <row r="657" spans="2:15" x14ac:dyDescent="0.25">
      <c r="B657" s="11" t="s">
        <v>677</v>
      </c>
      <c r="C657" s="252" t="s">
        <v>390</v>
      </c>
      <c r="D657" s="252"/>
      <c r="E657" s="252" t="s">
        <v>1325</v>
      </c>
      <c r="F657" s="252"/>
      <c r="G657" s="252" t="s">
        <v>1326</v>
      </c>
      <c r="H657" s="252"/>
      <c r="O657" s="105" t="e">
        <f>SUM(0.5*#REF!)/200</f>
        <v>#REF!</v>
      </c>
    </row>
    <row r="658" spans="2:15" x14ac:dyDescent="0.25">
      <c r="B658" s="8"/>
      <c r="C658" s="311"/>
      <c r="D658" s="311"/>
      <c r="E658" s="311"/>
      <c r="F658" s="311"/>
      <c r="G658" s="311"/>
      <c r="H658" s="311"/>
    </row>
    <row r="659" spans="2:15" x14ac:dyDescent="0.25">
      <c r="B659" s="217" t="s">
        <v>401</v>
      </c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9"/>
      <c r="O659" s="100" t="e">
        <f>SUM(O613:O657)</f>
        <v>#REF!</v>
      </c>
    </row>
    <row r="660" spans="2:15" x14ac:dyDescent="0.25">
      <c r="B660" s="3" t="s">
        <v>402</v>
      </c>
      <c r="C660" s="232" t="s">
        <v>403</v>
      </c>
      <c r="D660" s="232"/>
      <c r="E660" s="233" t="s">
        <v>404</v>
      </c>
      <c r="F660" s="233"/>
      <c r="G660" s="232" t="s">
        <v>405</v>
      </c>
      <c r="H660" s="232"/>
      <c r="I660" s="232" t="s">
        <v>406</v>
      </c>
      <c r="J660" s="232"/>
      <c r="K660" s="234" t="s">
        <v>407</v>
      </c>
      <c r="L660" s="235"/>
      <c r="M660" s="236"/>
    </row>
    <row r="661" spans="2:15" ht="15.75" thickBot="1" x14ac:dyDescent="0.3">
      <c r="B661" s="5">
        <v>2</v>
      </c>
      <c r="C661" s="237">
        <v>2</v>
      </c>
      <c r="D661" s="238"/>
      <c r="E661" s="239">
        <v>0.16</v>
      </c>
      <c r="F661" s="238"/>
      <c r="G661" s="240"/>
      <c r="H661" s="240"/>
      <c r="I661" s="241"/>
      <c r="J661" s="241"/>
      <c r="K661" s="242">
        <v>7.0999999999999994E-2</v>
      </c>
      <c r="L661" s="243"/>
      <c r="M661" s="244"/>
    </row>
    <row r="662" spans="2:15" x14ac:dyDescent="0.25">
      <c r="B662" s="1"/>
      <c r="C662" s="1"/>
      <c r="D662" s="1"/>
      <c r="E662" s="1"/>
      <c r="F662" s="1"/>
      <c r="G662" s="1"/>
      <c r="H662" s="1"/>
    </row>
    <row r="663" spans="2:15" x14ac:dyDescent="0.25">
      <c r="B663" s="217" t="s">
        <v>408</v>
      </c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9"/>
    </row>
    <row r="664" spans="2:15" x14ac:dyDescent="0.25">
      <c r="B664" s="122" t="s">
        <v>1328</v>
      </c>
      <c r="C664" s="220" t="s">
        <v>1329</v>
      </c>
      <c r="D664" s="220"/>
      <c r="E664" s="221" t="s">
        <v>942</v>
      </c>
      <c r="F664" s="221"/>
      <c r="G664" s="221" t="s">
        <v>472</v>
      </c>
      <c r="H664" s="221"/>
      <c r="I664" s="220" t="s">
        <v>1330</v>
      </c>
      <c r="J664" s="220"/>
      <c r="K664" s="220" t="s">
        <v>1331</v>
      </c>
      <c r="L664" s="220"/>
      <c r="M664" s="222"/>
    </row>
    <row r="665" spans="2:15" x14ac:dyDescent="0.25">
      <c r="B665" s="123" t="s">
        <v>1332</v>
      </c>
      <c r="C665" s="225" t="s">
        <v>1333</v>
      </c>
      <c r="D665" s="226"/>
      <c r="E665" s="227" t="s">
        <v>1334</v>
      </c>
      <c r="F665" s="227"/>
      <c r="G665" s="223" t="s">
        <v>1335</v>
      </c>
      <c r="H665" s="223"/>
      <c r="I665" s="227" t="s">
        <v>1336</v>
      </c>
      <c r="J665" s="227"/>
      <c r="K665" s="223" t="s">
        <v>1337</v>
      </c>
      <c r="L665" s="223"/>
      <c r="M665" s="224"/>
    </row>
    <row r="666" spans="2:15" ht="15.75" customHeight="1" x14ac:dyDescent="0.25">
      <c r="B666" s="123" t="s">
        <v>1338</v>
      </c>
      <c r="C666" s="225" t="s">
        <v>422</v>
      </c>
      <c r="D666" s="226"/>
      <c r="E666" s="227" t="s">
        <v>1339</v>
      </c>
      <c r="F666" s="227"/>
      <c r="G666" s="223" t="s">
        <v>1340</v>
      </c>
      <c r="H666" s="223"/>
      <c r="I666" s="223" t="s">
        <v>1341</v>
      </c>
      <c r="J666" s="223"/>
      <c r="K666" s="223" t="s">
        <v>575</v>
      </c>
      <c r="L666" s="223"/>
      <c r="M666" s="224"/>
    </row>
    <row r="668" spans="2:15" ht="23.25" x14ac:dyDescent="0.35">
      <c r="B668" s="29" t="s">
        <v>334</v>
      </c>
      <c r="C668" s="229" t="s">
        <v>15</v>
      </c>
      <c r="D668" s="229"/>
      <c r="E668" s="229"/>
      <c r="F668" s="229"/>
      <c r="G668" s="229"/>
      <c r="H668" s="229"/>
      <c r="I668" s="229"/>
      <c r="J668" s="229"/>
    </row>
    <row r="669" spans="2:15" ht="18.75" x14ac:dyDescent="0.3">
      <c r="B669" s="12" t="s">
        <v>335</v>
      </c>
      <c r="C669" s="195" t="s">
        <v>336</v>
      </c>
      <c r="D669" s="228" t="s">
        <v>427</v>
      </c>
      <c r="E669" s="228"/>
      <c r="F669" s="1" t="s">
        <v>1342</v>
      </c>
      <c r="L669" s="12" t="s">
        <v>339</v>
      </c>
      <c r="M669" s="6" t="s">
        <v>14</v>
      </c>
    </row>
    <row r="671" spans="2:15" x14ac:dyDescent="0.25">
      <c r="B671" s="2" t="s">
        <v>341</v>
      </c>
      <c r="C671" s="250" t="s">
        <v>342</v>
      </c>
      <c r="D671" s="250"/>
      <c r="E671" s="250" t="s">
        <v>343</v>
      </c>
      <c r="F671" s="250"/>
      <c r="G671" s="250" t="s">
        <v>954</v>
      </c>
      <c r="H671" s="250"/>
      <c r="I671" s="228" t="s">
        <v>345</v>
      </c>
      <c r="J671" s="228"/>
      <c r="K671" s="228"/>
      <c r="L671" s="228"/>
      <c r="M671" s="228"/>
    </row>
    <row r="672" spans="2:15" x14ac:dyDescent="0.25">
      <c r="C672" s="251"/>
      <c r="D672" s="251"/>
      <c r="E672" s="251"/>
      <c r="F672" s="251"/>
      <c r="G672" s="251"/>
      <c r="H672" s="251"/>
      <c r="I672" s="7"/>
      <c r="J672" s="7"/>
      <c r="K672" s="7"/>
      <c r="L672" s="7"/>
      <c r="M672" s="7"/>
    </row>
    <row r="673" spans="2:15" x14ac:dyDescent="0.25">
      <c r="B673" s="11" t="s">
        <v>1343</v>
      </c>
      <c r="C673" s="252" t="s">
        <v>1344</v>
      </c>
      <c r="D673" s="252"/>
      <c r="E673" s="252" t="s">
        <v>1345</v>
      </c>
      <c r="F673" s="252"/>
      <c r="G673" s="252" t="s">
        <v>1346</v>
      </c>
      <c r="H673" s="252"/>
      <c r="I673" s="14" t="s">
        <v>1347</v>
      </c>
      <c r="J673" s="7"/>
      <c r="K673" s="7"/>
      <c r="L673" s="7"/>
      <c r="M673" s="7"/>
    </row>
    <row r="674" spans="2:15" x14ac:dyDescent="0.25">
      <c r="B674" s="11" t="s">
        <v>1348</v>
      </c>
      <c r="C674" s="188"/>
      <c r="D674" s="188"/>
      <c r="E674" s="252"/>
      <c r="F674" s="252"/>
      <c r="G674" s="252"/>
      <c r="H674" s="252"/>
      <c r="I674" s="14" t="s">
        <v>1349</v>
      </c>
      <c r="J674" s="7"/>
      <c r="K674" s="7"/>
      <c r="L674" s="7"/>
      <c r="M674" s="7"/>
    </row>
    <row r="675" spans="2:15" x14ac:dyDescent="0.25">
      <c r="B675" s="11" t="s">
        <v>1350</v>
      </c>
      <c r="C675" s="252" t="s">
        <v>545</v>
      </c>
      <c r="D675" s="252"/>
      <c r="E675" s="252" t="s">
        <v>984</v>
      </c>
      <c r="F675" s="252"/>
      <c r="G675" s="252" t="s">
        <v>985</v>
      </c>
      <c r="H675" s="252"/>
      <c r="I675" s="14" t="s">
        <v>1351</v>
      </c>
      <c r="J675" s="7"/>
      <c r="K675" s="7"/>
      <c r="L675" s="7"/>
      <c r="M675" s="7"/>
    </row>
    <row r="676" spans="2:15" x14ac:dyDescent="0.25">
      <c r="B676" s="11"/>
      <c r="C676" s="188"/>
      <c r="D676" s="188"/>
      <c r="E676" s="252"/>
      <c r="F676" s="252"/>
      <c r="G676" s="252"/>
      <c r="H676" s="252"/>
      <c r="I676" s="14" t="s">
        <v>1352</v>
      </c>
      <c r="J676" s="7"/>
      <c r="K676" s="7"/>
      <c r="L676" s="7"/>
      <c r="M676" s="7"/>
    </row>
    <row r="677" spans="2:15" x14ac:dyDescent="0.25">
      <c r="B677" s="1" t="s">
        <v>1353</v>
      </c>
      <c r="C677" s="253" t="s">
        <v>1354</v>
      </c>
      <c r="D677" s="253"/>
      <c r="E677" s="253" t="s">
        <v>1355</v>
      </c>
      <c r="F677" s="253"/>
      <c r="G677" s="253" t="s">
        <v>1356</v>
      </c>
      <c r="H677" s="253"/>
      <c r="I677" s="14" t="s">
        <v>1357</v>
      </c>
      <c r="J677" s="7"/>
      <c r="K677" s="7"/>
      <c r="L677" s="7"/>
      <c r="M677" s="7"/>
    </row>
    <row r="678" spans="2:15" x14ac:dyDescent="0.25">
      <c r="I678" s="14" t="s">
        <v>1358</v>
      </c>
    </row>
    <row r="679" spans="2:15" ht="15.75" thickBot="1" x14ac:dyDescent="0.3">
      <c r="B679" s="1"/>
      <c r="C679" s="189"/>
      <c r="D679" s="189"/>
      <c r="E679" s="189"/>
      <c r="F679" s="189"/>
      <c r="G679" s="189"/>
      <c r="H679" s="189"/>
      <c r="I679" s="14" t="s">
        <v>1359</v>
      </c>
    </row>
    <row r="680" spans="2:15" x14ac:dyDescent="0.25">
      <c r="B680" s="217" t="s">
        <v>401</v>
      </c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9"/>
    </row>
    <row r="681" spans="2:15" x14ac:dyDescent="0.25">
      <c r="B681" s="3" t="s">
        <v>402</v>
      </c>
      <c r="C681" s="232" t="s">
        <v>403</v>
      </c>
      <c r="D681" s="232"/>
      <c r="E681" s="232" t="s">
        <v>467</v>
      </c>
      <c r="F681" s="232"/>
      <c r="G681" s="232" t="s">
        <v>405</v>
      </c>
      <c r="H681" s="232"/>
      <c r="I681" s="232" t="s">
        <v>406</v>
      </c>
      <c r="J681" s="232"/>
      <c r="K681" s="234" t="s">
        <v>468</v>
      </c>
      <c r="L681" s="235"/>
      <c r="M681" s="236"/>
    </row>
    <row r="682" spans="2:15" ht="15.75" thickBot="1" x14ac:dyDescent="0.3">
      <c r="B682" s="5" t="s">
        <v>1360</v>
      </c>
      <c r="C682" s="237"/>
      <c r="D682" s="238"/>
      <c r="E682" s="239"/>
      <c r="F682" s="238"/>
      <c r="G682" s="240"/>
      <c r="H682" s="240"/>
      <c r="I682" s="240">
        <v>1.2350000000000001</v>
      </c>
      <c r="J682" s="240"/>
      <c r="K682" s="242"/>
      <c r="L682" s="243"/>
      <c r="M682" s="244"/>
    </row>
    <row r="683" spans="2:15" ht="15.75" thickBot="1" x14ac:dyDescent="0.3">
      <c r="B683" s="1"/>
      <c r="C683" s="1"/>
      <c r="D683" s="1"/>
      <c r="E683" s="1"/>
      <c r="F683" s="1"/>
      <c r="G683" s="1"/>
      <c r="H683" s="1"/>
    </row>
    <row r="684" spans="2:15" x14ac:dyDescent="0.25">
      <c r="B684" s="217" t="s">
        <v>408</v>
      </c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9"/>
    </row>
    <row r="685" spans="2:15" x14ac:dyDescent="0.25">
      <c r="B685" s="3" t="s">
        <v>1361</v>
      </c>
      <c r="C685" s="232" t="s">
        <v>1362</v>
      </c>
      <c r="D685" s="232"/>
      <c r="E685" s="268" t="s">
        <v>1363</v>
      </c>
      <c r="F685" s="268"/>
      <c r="G685" s="233" t="s">
        <v>1364</v>
      </c>
      <c r="H685" s="233"/>
      <c r="I685" s="232" t="s">
        <v>1365</v>
      </c>
      <c r="J685" s="232"/>
      <c r="K685" s="232" t="s">
        <v>1366</v>
      </c>
      <c r="L685" s="232"/>
      <c r="M685" s="269"/>
    </row>
    <row r="686" spans="2:15" ht="15.75" thickBot="1" x14ac:dyDescent="0.3">
      <c r="B686" s="5" t="s">
        <v>1367</v>
      </c>
      <c r="C686" s="240" t="s">
        <v>1368</v>
      </c>
      <c r="D686" s="240"/>
      <c r="E686" s="240" t="s">
        <v>1369</v>
      </c>
      <c r="F686" s="240"/>
      <c r="G686" s="240" t="s">
        <v>1370</v>
      </c>
      <c r="H686" s="240"/>
      <c r="I686" s="266" t="s">
        <v>1371</v>
      </c>
      <c r="J686" s="266"/>
      <c r="K686" s="240" t="s">
        <v>1372</v>
      </c>
      <c r="L686" s="240"/>
      <c r="M686" s="267"/>
    </row>
    <row r="688" spans="2:15" ht="23.25" x14ac:dyDescent="0.35">
      <c r="B688" s="29" t="s">
        <v>334</v>
      </c>
      <c r="C688" s="229" t="s">
        <v>65</v>
      </c>
      <c r="D688" s="229"/>
      <c r="E688" s="229"/>
      <c r="F688" s="229"/>
      <c r="G688" s="229"/>
      <c r="H688" s="229"/>
      <c r="I688" s="229"/>
      <c r="J688" s="229"/>
      <c r="K688" s="229"/>
      <c r="O688" s="101" t="s">
        <v>481</v>
      </c>
    </row>
    <row r="689" spans="2:15" ht="18.75" x14ac:dyDescent="0.3">
      <c r="B689" s="12" t="s">
        <v>335</v>
      </c>
      <c r="C689" s="195" t="s">
        <v>336</v>
      </c>
      <c r="D689" s="228" t="s">
        <v>427</v>
      </c>
      <c r="E689" s="228"/>
      <c r="F689" s="1" t="s">
        <v>1373</v>
      </c>
      <c r="L689" s="12" t="s">
        <v>339</v>
      </c>
      <c r="M689" s="6" t="s">
        <v>64</v>
      </c>
    </row>
    <row r="691" spans="2:15" x14ac:dyDescent="0.25">
      <c r="B691" s="2" t="s">
        <v>341</v>
      </c>
      <c r="C691" s="250" t="s">
        <v>342</v>
      </c>
      <c r="D691" s="250"/>
      <c r="E691" s="250" t="s">
        <v>343</v>
      </c>
      <c r="F691" s="250"/>
      <c r="G691" s="250" t="s">
        <v>344</v>
      </c>
      <c r="H691" s="250"/>
      <c r="I691" s="228" t="s">
        <v>345</v>
      </c>
      <c r="J691" s="228"/>
      <c r="K691" s="228"/>
      <c r="L691" s="228"/>
      <c r="M691" s="228"/>
      <c r="O691" s="101" t="s">
        <v>1262</v>
      </c>
    </row>
    <row r="692" spans="2:15" x14ac:dyDescent="0.25">
      <c r="C692" s="251"/>
      <c r="D692" s="251"/>
      <c r="E692" s="251"/>
      <c r="F692" s="251"/>
      <c r="G692" s="251"/>
      <c r="H692" s="251"/>
      <c r="I692" s="7"/>
      <c r="J692" s="7"/>
      <c r="K692" s="7"/>
      <c r="L692" s="7"/>
      <c r="M692" s="7"/>
    </row>
    <row r="693" spans="2:15" x14ac:dyDescent="0.25">
      <c r="B693" s="11" t="s">
        <v>955</v>
      </c>
      <c r="C693" s="252" t="s">
        <v>1374</v>
      </c>
      <c r="D693" s="252"/>
      <c r="E693" s="252" t="s">
        <v>1375</v>
      </c>
      <c r="F693" s="252"/>
      <c r="G693" s="252" t="s">
        <v>1376</v>
      </c>
      <c r="H693" s="252"/>
      <c r="I693" s="14" t="s">
        <v>1377</v>
      </c>
      <c r="J693" s="7"/>
      <c r="K693" s="7"/>
      <c r="L693" s="7"/>
      <c r="M693" s="7"/>
      <c r="O693" s="98" t="e">
        <f>SUM(9.3*#REF!)/175</f>
        <v>#REF!</v>
      </c>
    </row>
    <row r="694" spans="2:15" x14ac:dyDescent="0.25">
      <c r="B694" s="11"/>
      <c r="C694" s="188"/>
      <c r="D694" s="188"/>
      <c r="E694" s="188"/>
      <c r="F694" s="188"/>
      <c r="G694" s="188"/>
      <c r="H694" s="188"/>
      <c r="I694" s="14" t="s">
        <v>1378</v>
      </c>
      <c r="J694" s="7"/>
      <c r="K694" s="7"/>
      <c r="L694" s="7"/>
      <c r="M694" s="7"/>
    </row>
    <row r="695" spans="2:15" x14ac:dyDescent="0.25">
      <c r="B695" s="1" t="s">
        <v>961</v>
      </c>
      <c r="C695" s="253" t="s">
        <v>1379</v>
      </c>
      <c r="D695" s="253"/>
      <c r="E695" s="253" t="s">
        <v>1380</v>
      </c>
      <c r="F695" s="253"/>
      <c r="G695" s="253" t="s">
        <v>1381</v>
      </c>
      <c r="H695" s="253"/>
      <c r="I695" s="14" t="s">
        <v>1382</v>
      </c>
      <c r="J695" s="7"/>
      <c r="K695" s="7"/>
      <c r="L695" s="7"/>
      <c r="M695" s="7"/>
      <c r="O695" s="142" t="e">
        <f>SUM(5.3125*#REF!)/175</f>
        <v>#REF!</v>
      </c>
    </row>
    <row r="696" spans="2:15" x14ac:dyDescent="0.25">
      <c r="B696" s="1"/>
      <c r="C696" s="189"/>
      <c r="D696" s="189"/>
      <c r="E696" s="189"/>
      <c r="F696" s="189"/>
      <c r="G696" s="189"/>
      <c r="H696" s="189"/>
      <c r="I696" s="14" t="s">
        <v>1383</v>
      </c>
      <c r="J696" s="7"/>
      <c r="K696" s="7"/>
      <c r="L696" s="7"/>
      <c r="M696" s="7"/>
    </row>
    <row r="697" spans="2:15" x14ac:dyDescent="0.25">
      <c r="B697" s="11" t="s">
        <v>1384</v>
      </c>
      <c r="C697" s="252" t="s">
        <v>1385</v>
      </c>
      <c r="D697" s="252"/>
      <c r="E697" s="252" t="s">
        <v>1386</v>
      </c>
      <c r="F697" s="252"/>
      <c r="G697" s="252" t="s">
        <v>1308</v>
      </c>
      <c r="H697" s="252"/>
      <c r="I697" s="14" t="s">
        <v>1387</v>
      </c>
      <c r="J697" s="7"/>
      <c r="K697" s="7"/>
      <c r="L697" s="7"/>
      <c r="M697" s="7"/>
      <c r="O697" s="136" t="e">
        <f>SUM(6.125*#REF!)/175</f>
        <v>#REF!</v>
      </c>
    </row>
    <row r="698" spans="2:15" x14ac:dyDescent="0.25">
      <c r="B698" s="11"/>
      <c r="C698" s="188"/>
      <c r="D698" s="188"/>
      <c r="E698" s="188"/>
      <c r="F698" s="188"/>
      <c r="G698" s="188"/>
      <c r="H698" s="188"/>
      <c r="I698" s="14" t="s">
        <v>1388</v>
      </c>
      <c r="J698" s="7"/>
      <c r="K698" s="7"/>
      <c r="L698" s="7"/>
      <c r="M698" s="7"/>
    </row>
    <row r="699" spans="2:15" x14ac:dyDescent="0.25">
      <c r="B699" s="1" t="s">
        <v>1233</v>
      </c>
      <c r="C699" s="253" t="s">
        <v>1036</v>
      </c>
      <c r="D699" s="253"/>
      <c r="E699" s="253" t="s">
        <v>1037</v>
      </c>
      <c r="F699" s="253"/>
      <c r="G699" s="253" t="s">
        <v>1038</v>
      </c>
      <c r="H699" s="253"/>
      <c r="I699" s="14" t="s">
        <v>1389</v>
      </c>
      <c r="J699" s="7"/>
      <c r="K699" s="7"/>
      <c r="L699" s="7"/>
      <c r="M699" s="7"/>
      <c r="O699" s="98" t="e">
        <f>SUM(6*#REF!)/175</f>
        <v>#REF!</v>
      </c>
    </row>
    <row r="700" spans="2:15" x14ac:dyDescent="0.25">
      <c r="B700" s="1"/>
      <c r="C700" s="189"/>
      <c r="D700" s="189"/>
      <c r="E700" s="189"/>
      <c r="F700" s="189"/>
      <c r="G700" s="189"/>
      <c r="H700" s="189"/>
      <c r="I700" s="14" t="s">
        <v>1390</v>
      </c>
      <c r="J700" s="7"/>
      <c r="K700" s="7"/>
      <c r="L700" s="7"/>
      <c r="M700" s="7"/>
    </row>
    <row r="701" spans="2:15" x14ac:dyDescent="0.25">
      <c r="B701" s="11" t="s">
        <v>548</v>
      </c>
      <c r="C701" s="252" t="s">
        <v>880</v>
      </c>
      <c r="D701" s="252"/>
      <c r="E701" s="252" t="s">
        <v>744</v>
      </c>
      <c r="F701" s="252"/>
      <c r="G701" s="252" t="s">
        <v>1391</v>
      </c>
      <c r="H701" s="252"/>
      <c r="I701" s="14" t="s">
        <v>1392</v>
      </c>
      <c r="K701" s="7"/>
      <c r="L701" s="7"/>
      <c r="M701" s="7"/>
      <c r="O701" s="103" t="e">
        <f>SUM(1.5*#REF!)/175</f>
        <v>#REF!</v>
      </c>
    </row>
    <row r="702" spans="2:15" x14ac:dyDescent="0.25">
      <c r="B702" s="11"/>
      <c r="C702" s="188"/>
      <c r="D702" s="188"/>
      <c r="E702" s="188"/>
      <c r="F702" s="188"/>
      <c r="G702" s="188"/>
      <c r="H702" s="188"/>
      <c r="I702" s="14" t="s">
        <v>1393</v>
      </c>
      <c r="J702" s="7"/>
      <c r="K702" s="7"/>
      <c r="L702" s="7"/>
      <c r="M702" s="7"/>
    </row>
    <row r="703" spans="2:15" x14ac:dyDescent="0.25">
      <c r="B703" s="1" t="s">
        <v>457</v>
      </c>
      <c r="C703" s="253" t="s">
        <v>880</v>
      </c>
      <c r="D703" s="253"/>
      <c r="E703" s="253" t="s">
        <v>744</v>
      </c>
      <c r="F703" s="253"/>
      <c r="G703" s="253" t="s">
        <v>1391</v>
      </c>
      <c r="H703" s="253"/>
      <c r="I703" s="14" t="s">
        <v>1394</v>
      </c>
      <c r="J703" s="14"/>
      <c r="K703" s="7"/>
      <c r="L703" s="7"/>
      <c r="M703" s="7"/>
      <c r="O703" s="102" t="e">
        <f>SUM(1.5*#REF!)/175</f>
        <v>#REF!</v>
      </c>
    </row>
    <row r="704" spans="2:15" x14ac:dyDescent="0.25">
      <c r="B704" s="1"/>
      <c r="C704" s="189"/>
      <c r="D704" s="189"/>
      <c r="E704" s="189"/>
      <c r="F704" s="189"/>
      <c r="G704" s="189"/>
      <c r="H704" s="189"/>
      <c r="I704" s="14" t="s">
        <v>1395</v>
      </c>
      <c r="J704" s="14"/>
      <c r="K704" s="7"/>
      <c r="L704" s="7"/>
      <c r="M704" s="7"/>
    </row>
    <row r="705" spans="2:15" x14ac:dyDescent="0.25">
      <c r="B705" s="11" t="s">
        <v>1396</v>
      </c>
      <c r="C705" s="252" t="s">
        <v>880</v>
      </c>
      <c r="D705" s="252"/>
      <c r="E705" s="252" t="s">
        <v>744</v>
      </c>
      <c r="F705" s="252"/>
      <c r="G705" s="252" t="s">
        <v>1391</v>
      </c>
      <c r="H705" s="252"/>
      <c r="I705" s="14" t="s">
        <v>1397</v>
      </c>
      <c r="K705" s="7"/>
      <c r="L705" s="7"/>
      <c r="M705" s="7"/>
      <c r="O705" s="102" t="e">
        <f>SUM(1.5*#REF!)/175</f>
        <v>#REF!</v>
      </c>
    </row>
    <row r="706" spans="2:15" x14ac:dyDescent="0.25">
      <c r="B706" s="11"/>
      <c r="C706" s="188"/>
      <c r="D706" s="188"/>
      <c r="E706" s="188"/>
      <c r="F706" s="188"/>
      <c r="G706" s="188"/>
      <c r="H706" s="188"/>
      <c r="I706" s="14" t="s">
        <v>1398</v>
      </c>
    </row>
    <row r="707" spans="2:15" x14ac:dyDescent="0.25">
      <c r="B707" s="1" t="s">
        <v>965</v>
      </c>
      <c r="C707" s="253" t="s">
        <v>1399</v>
      </c>
      <c r="D707" s="253"/>
      <c r="E707" s="253" t="s">
        <v>1400</v>
      </c>
      <c r="F707" s="253"/>
      <c r="G707" s="253" t="s">
        <v>1346</v>
      </c>
      <c r="H707" s="253"/>
      <c r="I707" s="14" t="s">
        <v>1401</v>
      </c>
      <c r="O707" s="98" t="e">
        <f>SUM(18*#REF!)/175</f>
        <v>#REF!</v>
      </c>
    </row>
    <row r="708" spans="2:15" x14ac:dyDescent="0.25">
      <c r="B708" s="1"/>
      <c r="C708" s="189"/>
      <c r="D708" s="189"/>
      <c r="E708" s="189"/>
      <c r="F708" s="189"/>
      <c r="G708" s="189"/>
      <c r="H708" s="189"/>
      <c r="I708" s="14" t="s">
        <v>990</v>
      </c>
    </row>
    <row r="709" spans="2:15" x14ac:dyDescent="0.25">
      <c r="B709" s="11" t="s">
        <v>1402</v>
      </c>
      <c r="C709" s="252" t="s">
        <v>545</v>
      </c>
      <c r="D709" s="252"/>
      <c r="E709" s="252" t="s">
        <v>984</v>
      </c>
      <c r="F709" s="252"/>
      <c r="G709" s="252" t="s">
        <v>1055</v>
      </c>
      <c r="H709" s="252"/>
      <c r="I709" s="14"/>
      <c r="O709" s="98" t="e">
        <f>#REF!</f>
        <v>#REF!</v>
      </c>
    </row>
    <row r="710" spans="2:15" x14ac:dyDescent="0.25">
      <c r="B710" s="11"/>
      <c r="C710" s="188"/>
      <c r="D710" s="188"/>
      <c r="E710" s="188"/>
      <c r="F710" s="188"/>
      <c r="G710" s="188"/>
      <c r="H710" s="188"/>
      <c r="I710" s="14" t="s">
        <v>1403</v>
      </c>
    </row>
    <row r="711" spans="2:15" x14ac:dyDescent="0.25">
      <c r="B711" s="1" t="s">
        <v>1404</v>
      </c>
      <c r="C711" s="253" t="s">
        <v>1405</v>
      </c>
      <c r="D711" s="253"/>
      <c r="E711" s="253" t="s">
        <v>1406</v>
      </c>
      <c r="F711" s="253"/>
      <c r="G711" s="253" t="s">
        <v>1407</v>
      </c>
      <c r="H711" s="253"/>
      <c r="O711" s="98">
        <v>0</v>
      </c>
    </row>
    <row r="712" spans="2:15" x14ac:dyDescent="0.25">
      <c r="B712" s="1"/>
      <c r="C712" s="14"/>
      <c r="D712" s="14"/>
      <c r="E712" s="14"/>
      <c r="F712" s="14"/>
      <c r="G712" s="14"/>
      <c r="H712" s="14"/>
    </row>
    <row r="713" spans="2:15" x14ac:dyDescent="0.25">
      <c r="B713" s="11" t="s">
        <v>1408</v>
      </c>
      <c r="C713" s="252" t="s">
        <v>880</v>
      </c>
      <c r="D713" s="252"/>
      <c r="E713" s="252" t="s">
        <v>744</v>
      </c>
      <c r="F713" s="252"/>
      <c r="G713" s="252" t="s">
        <v>1391</v>
      </c>
      <c r="H713" s="252"/>
      <c r="O713" s="109" t="e">
        <f>SUM(1.5*#REF!)/175</f>
        <v>#REF!</v>
      </c>
    </row>
    <row r="714" spans="2:15" ht="15.75" thickBot="1" x14ac:dyDescent="0.3">
      <c r="B714" s="11"/>
      <c r="C714" s="13"/>
      <c r="D714" s="13"/>
      <c r="E714" s="13"/>
      <c r="F714" s="13"/>
      <c r="G714" s="13"/>
      <c r="H714" s="13"/>
    </row>
    <row r="715" spans="2:15" x14ac:dyDescent="0.25">
      <c r="B715" s="217" t="s">
        <v>401</v>
      </c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9"/>
      <c r="O715" s="100" t="e">
        <f>SUM(O693:O713)</f>
        <v>#REF!</v>
      </c>
    </row>
    <row r="716" spans="2:15" x14ac:dyDescent="0.25">
      <c r="B716" s="3" t="s">
        <v>402</v>
      </c>
      <c r="C716" s="232" t="s">
        <v>403</v>
      </c>
      <c r="D716" s="232"/>
      <c r="E716" s="232" t="s">
        <v>467</v>
      </c>
      <c r="F716" s="232"/>
      <c r="G716" s="232" t="s">
        <v>405</v>
      </c>
      <c r="H716" s="232"/>
      <c r="I716" s="232" t="s">
        <v>406</v>
      </c>
      <c r="J716" s="232"/>
      <c r="K716" s="234" t="s">
        <v>468</v>
      </c>
      <c r="L716" s="235"/>
      <c r="M716" s="236"/>
    </row>
    <row r="717" spans="2:15" ht="15.75" thickBot="1" x14ac:dyDescent="0.3">
      <c r="B717" s="5">
        <v>3.2</v>
      </c>
      <c r="C717" s="237">
        <v>3.5</v>
      </c>
      <c r="D717" s="238"/>
      <c r="E717" s="239"/>
      <c r="F717" s="238"/>
      <c r="G717" s="240"/>
      <c r="H717" s="240"/>
      <c r="I717" s="241"/>
      <c r="J717" s="241"/>
      <c r="K717" s="242"/>
      <c r="L717" s="243"/>
      <c r="M717" s="244"/>
    </row>
    <row r="718" spans="2:15" x14ac:dyDescent="0.25">
      <c r="B718" s="1"/>
      <c r="C718" s="1"/>
      <c r="D718" s="1"/>
      <c r="E718" s="1"/>
      <c r="F718" s="1"/>
      <c r="G718" s="1"/>
      <c r="H718" s="1"/>
    </row>
    <row r="719" spans="2:15" x14ac:dyDescent="0.25">
      <c r="B719" s="217" t="s">
        <v>408</v>
      </c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9"/>
    </row>
    <row r="720" spans="2:15" x14ac:dyDescent="0.25">
      <c r="B720" s="122" t="s">
        <v>1409</v>
      </c>
      <c r="C720" s="220" t="s">
        <v>1410</v>
      </c>
      <c r="D720" s="220"/>
      <c r="E720" s="221" t="s">
        <v>1411</v>
      </c>
      <c r="F720" s="221"/>
      <c r="G720" s="221" t="s">
        <v>1412</v>
      </c>
      <c r="H720" s="221"/>
      <c r="I720" s="220" t="s">
        <v>1413</v>
      </c>
      <c r="J720" s="220"/>
      <c r="K720" s="220" t="s">
        <v>1414</v>
      </c>
      <c r="L720" s="220"/>
      <c r="M720" s="222"/>
    </row>
    <row r="721" spans="2:15" x14ac:dyDescent="0.25">
      <c r="B721" s="123" t="s">
        <v>1415</v>
      </c>
      <c r="C721" s="225" t="s">
        <v>1062</v>
      </c>
      <c r="D721" s="226"/>
      <c r="E721" s="227" t="s">
        <v>1416</v>
      </c>
      <c r="F721" s="227"/>
      <c r="G721" s="223" t="s">
        <v>1417</v>
      </c>
      <c r="H721" s="223"/>
      <c r="I721" s="227" t="s">
        <v>569</v>
      </c>
      <c r="J721" s="227"/>
      <c r="K721" s="223" t="s">
        <v>1418</v>
      </c>
      <c r="L721" s="223"/>
      <c r="M721" s="224"/>
    </row>
    <row r="722" spans="2:15" x14ac:dyDescent="0.25">
      <c r="B722" s="124" t="s">
        <v>1419</v>
      </c>
      <c r="C722" s="245" t="s">
        <v>830</v>
      </c>
      <c r="D722" s="246"/>
      <c r="E722" s="248" t="s">
        <v>1420</v>
      </c>
      <c r="F722" s="248"/>
      <c r="G722" s="247" t="s">
        <v>573</v>
      </c>
      <c r="H722" s="247"/>
      <c r="I722" s="247" t="s">
        <v>574</v>
      </c>
      <c r="J722" s="247"/>
      <c r="K722" s="247" t="s">
        <v>1421</v>
      </c>
      <c r="L722" s="247"/>
      <c r="M722" s="249"/>
    </row>
    <row r="724" spans="2:15" ht="23.25" x14ac:dyDescent="0.35">
      <c r="B724" s="29" t="s">
        <v>334</v>
      </c>
      <c r="C724" s="229" t="s">
        <v>10</v>
      </c>
      <c r="D724" s="229"/>
      <c r="E724" s="229"/>
      <c r="F724" s="229"/>
      <c r="G724" s="229"/>
      <c r="H724" s="229"/>
      <c r="I724" s="229"/>
      <c r="J724" s="229"/>
      <c r="K724" s="229"/>
      <c r="O724" s="101" t="s">
        <v>481</v>
      </c>
    </row>
    <row r="725" spans="2:15" ht="18.75" x14ac:dyDescent="0.3">
      <c r="B725" s="12" t="s">
        <v>335</v>
      </c>
      <c r="C725" s="195" t="s">
        <v>336</v>
      </c>
      <c r="D725" s="228" t="s">
        <v>427</v>
      </c>
      <c r="E725" s="228"/>
      <c r="F725" s="1" t="s">
        <v>1422</v>
      </c>
      <c r="L725" s="12" t="s">
        <v>339</v>
      </c>
      <c r="M725" s="6" t="s">
        <v>9</v>
      </c>
    </row>
    <row r="727" spans="2:15" x14ac:dyDescent="0.25">
      <c r="B727" s="2" t="s">
        <v>341</v>
      </c>
      <c r="C727" s="250" t="s">
        <v>342</v>
      </c>
      <c r="D727" s="250"/>
      <c r="E727" s="250" t="s">
        <v>343</v>
      </c>
      <c r="F727" s="250"/>
      <c r="G727" s="250" t="s">
        <v>1423</v>
      </c>
      <c r="H727" s="250"/>
      <c r="I727" s="228" t="s">
        <v>345</v>
      </c>
      <c r="J727" s="228"/>
      <c r="K727" s="228"/>
      <c r="L727" s="228"/>
      <c r="M727" s="228"/>
      <c r="O727" s="101" t="s">
        <v>1262</v>
      </c>
    </row>
    <row r="728" spans="2:15" x14ac:dyDescent="0.25">
      <c r="C728" s="251"/>
      <c r="D728" s="251"/>
      <c r="E728" s="251"/>
      <c r="F728" s="251"/>
      <c r="G728" s="251"/>
      <c r="H728" s="251"/>
      <c r="I728" s="7"/>
      <c r="J728" s="7"/>
      <c r="K728" s="7"/>
      <c r="L728" s="7"/>
      <c r="M728" s="7"/>
    </row>
    <row r="729" spans="2:15" x14ac:dyDescent="0.25">
      <c r="B729" s="13" t="s">
        <v>1424</v>
      </c>
      <c r="C729" s="252" t="s">
        <v>1425</v>
      </c>
      <c r="D729" s="252"/>
      <c r="E729" s="252" t="s">
        <v>1426</v>
      </c>
      <c r="F729" s="252"/>
      <c r="G729" s="252" t="s">
        <v>845</v>
      </c>
      <c r="H729" s="252"/>
      <c r="I729" s="14" t="s">
        <v>1427</v>
      </c>
      <c r="J729" s="7"/>
      <c r="K729" s="7"/>
      <c r="L729" s="7"/>
      <c r="M729" s="7"/>
      <c r="O729" s="98" t="e">
        <f>SUM(11.1875*#REF!)/175</f>
        <v>#REF!</v>
      </c>
    </row>
    <row r="730" spans="2:15" x14ac:dyDescent="0.25">
      <c r="B730" s="13"/>
      <c r="C730" s="188"/>
      <c r="D730" s="188"/>
      <c r="E730" s="188"/>
      <c r="F730" s="188"/>
      <c r="G730" s="188"/>
      <c r="H730" s="188"/>
      <c r="I730" s="14" t="s">
        <v>1428</v>
      </c>
      <c r="J730" s="7"/>
      <c r="K730" s="7"/>
      <c r="L730" s="7"/>
      <c r="M730" s="7"/>
      <c r="O730" s="98"/>
    </row>
    <row r="731" spans="2:15" x14ac:dyDescent="0.25">
      <c r="B731" s="14" t="s">
        <v>1396</v>
      </c>
      <c r="C731" s="253" t="s">
        <v>1429</v>
      </c>
      <c r="D731" s="253"/>
      <c r="E731" s="253" t="s">
        <v>491</v>
      </c>
      <c r="F731" s="253"/>
      <c r="G731" s="253" t="s">
        <v>1026</v>
      </c>
      <c r="H731" s="253"/>
      <c r="I731" s="14" t="s">
        <v>1430</v>
      </c>
      <c r="J731" s="7"/>
      <c r="K731" s="7"/>
      <c r="L731" s="7"/>
      <c r="M731" s="7"/>
      <c r="O731" s="102" t="e">
        <f>SUM(2.3*#REF!)/175</f>
        <v>#REF!</v>
      </c>
    </row>
    <row r="732" spans="2:15" x14ac:dyDescent="0.25">
      <c r="B732" s="14"/>
      <c r="C732" s="189"/>
      <c r="D732" s="189"/>
      <c r="E732" s="189"/>
      <c r="F732" s="189"/>
      <c r="G732" s="189"/>
      <c r="H732" s="189"/>
      <c r="I732" s="14" t="s">
        <v>1431</v>
      </c>
      <c r="J732" s="7"/>
      <c r="K732" s="7"/>
      <c r="L732" s="7"/>
      <c r="M732" s="7"/>
      <c r="O732" s="98"/>
    </row>
    <row r="733" spans="2:15" x14ac:dyDescent="0.25">
      <c r="B733" s="13" t="s">
        <v>360</v>
      </c>
      <c r="C733" s="252" t="s">
        <v>1432</v>
      </c>
      <c r="D733" s="252"/>
      <c r="E733" s="252" t="s">
        <v>1433</v>
      </c>
      <c r="F733" s="252"/>
      <c r="G733" s="252" t="s">
        <v>1434</v>
      </c>
      <c r="H733" s="252"/>
      <c r="I733" s="14" t="s">
        <v>1435</v>
      </c>
      <c r="J733" s="7"/>
      <c r="K733" s="7"/>
      <c r="L733" s="7"/>
      <c r="M733" s="7"/>
      <c r="O733" s="98" t="e">
        <f>SUM(9.8125*#REF!)/175</f>
        <v>#REF!</v>
      </c>
    </row>
    <row r="734" spans="2:15" x14ac:dyDescent="0.25">
      <c r="B734" s="13"/>
      <c r="C734" s="188"/>
      <c r="D734" s="188"/>
      <c r="E734" s="188"/>
      <c r="F734" s="188"/>
      <c r="G734" s="188"/>
      <c r="H734" s="188"/>
      <c r="I734" s="14" t="s">
        <v>1436</v>
      </c>
      <c r="J734" s="7"/>
      <c r="K734" s="7"/>
      <c r="L734" s="7"/>
      <c r="M734" s="7"/>
      <c r="O734" s="98"/>
    </row>
    <row r="735" spans="2:15" x14ac:dyDescent="0.25">
      <c r="B735" s="14" t="s">
        <v>1437</v>
      </c>
      <c r="C735" s="253" t="s">
        <v>1438</v>
      </c>
      <c r="D735" s="253"/>
      <c r="E735" s="253" t="s">
        <v>1439</v>
      </c>
      <c r="F735" s="253"/>
      <c r="G735" s="253" t="s">
        <v>978</v>
      </c>
      <c r="H735" s="253"/>
      <c r="I735" s="14" t="s">
        <v>1440</v>
      </c>
      <c r="J735" s="7"/>
      <c r="K735" s="7"/>
      <c r="L735" s="7"/>
      <c r="M735" s="7"/>
      <c r="O735" s="98" t="e">
        <f>SUM(24.25*#REF!)/175</f>
        <v>#REF!</v>
      </c>
    </row>
    <row r="736" spans="2:15" x14ac:dyDescent="0.25">
      <c r="B736" s="14"/>
      <c r="C736" s="189"/>
      <c r="D736" s="189"/>
      <c r="E736" s="189"/>
      <c r="F736" s="189"/>
      <c r="G736" s="189"/>
      <c r="H736" s="189"/>
      <c r="I736" s="14" t="s">
        <v>1441</v>
      </c>
      <c r="J736" s="7"/>
      <c r="K736" s="7"/>
      <c r="L736" s="7"/>
      <c r="M736" s="7"/>
      <c r="O736" s="98"/>
    </row>
    <row r="737" spans="2:15" x14ac:dyDescent="0.25">
      <c r="B737" s="13" t="s">
        <v>1442</v>
      </c>
      <c r="C737" s="252" t="s">
        <v>1443</v>
      </c>
      <c r="D737" s="252"/>
      <c r="E737" s="252" t="s">
        <v>1444</v>
      </c>
      <c r="F737" s="252"/>
      <c r="G737" s="252" t="s">
        <v>1445</v>
      </c>
      <c r="H737" s="252"/>
      <c r="I737" t="s">
        <v>1446</v>
      </c>
      <c r="K737" s="7"/>
      <c r="L737" s="7"/>
      <c r="M737" s="7"/>
      <c r="O737" s="98" t="e">
        <f>SUM(1*#REF!)/175</f>
        <v>#REF!</v>
      </c>
    </row>
    <row r="738" spans="2:15" x14ac:dyDescent="0.25">
      <c r="B738" s="13"/>
      <c r="C738" s="188"/>
      <c r="D738" s="188"/>
      <c r="E738" s="188"/>
      <c r="F738" s="188"/>
      <c r="G738" s="188"/>
      <c r="H738" s="188"/>
      <c r="I738" s="14" t="s">
        <v>1447</v>
      </c>
      <c r="J738" s="7"/>
      <c r="K738" s="7"/>
      <c r="L738" s="7"/>
      <c r="M738" s="7"/>
      <c r="O738" s="98"/>
    </row>
    <row r="739" spans="2:15" x14ac:dyDescent="0.25">
      <c r="B739" s="14" t="s">
        <v>865</v>
      </c>
      <c r="C739" s="253" t="s">
        <v>1448</v>
      </c>
      <c r="D739" s="253"/>
      <c r="E739" s="253" t="s">
        <v>1449</v>
      </c>
      <c r="F739" s="253"/>
      <c r="G739" s="253" t="s">
        <v>967</v>
      </c>
      <c r="H739" s="253"/>
      <c r="I739" s="14" t="s">
        <v>1450</v>
      </c>
      <c r="J739" s="14"/>
      <c r="K739" s="7"/>
      <c r="L739" s="7"/>
      <c r="M739" s="7"/>
      <c r="O739" s="98" t="e">
        <f>SUM(4.1875*#REF!)/175</f>
        <v>#REF!</v>
      </c>
    </row>
    <row r="740" spans="2:15" x14ac:dyDescent="0.25">
      <c r="B740" s="14" t="s">
        <v>869</v>
      </c>
      <c r="C740" s="189"/>
      <c r="D740" s="189"/>
      <c r="E740" s="189"/>
      <c r="F740" s="189"/>
      <c r="G740" s="189"/>
      <c r="H740" s="189"/>
      <c r="I740" s="14" t="s">
        <v>1451</v>
      </c>
      <c r="J740" s="14"/>
      <c r="K740" s="7"/>
      <c r="L740" s="7"/>
      <c r="M740" s="7"/>
      <c r="O740" s="98"/>
    </row>
    <row r="741" spans="2:15" x14ac:dyDescent="0.25">
      <c r="B741" s="13" t="s">
        <v>1452</v>
      </c>
      <c r="C741" s="252" t="s">
        <v>487</v>
      </c>
      <c r="D741" s="252"/>
      <c r="E741" s="252" t="s">
        <v>1026</v>
      </c>
      <c r="F741" s="252"/>
      <c r="G741" s="252" t="s">
        <v>1053</v>
      </c>
      <c r="H741" s="252"/>
      <c r="I741" s="14" t="s">
        <v>1453</v>
      </c>
      <c r="K741" s="7"/>
      <c r="L741" s="7"/>
      <c r="M741" s="7"/>
      <c r="O741" s="102" t="e">
        <f>SUM(4*#REF!)/175</f>
        <v>#REF!</v>
      </c>
    </row>
    <row r="742" spans="2:15" x14ac:dyDescent="0.25">
      <c r="B742" s="13"/>
      <c r="C742" s="188"/>
      <c r="D742" s="188"/>
      <c r="E742" s="188"/>
      <c r="F742" s="188"/>
      <c r="G742" s="188"/>
      <c r="H742" s="188"/>
      <c r="I742" s="14" t="s">
        <v>1454</v>
      </c>
      <c r="O742" s="98"/>
    </row>
    <row r="743" spans="2:15" x14ac:dyDescent="0.25">
      <c r="B743" s="14" t="s">
        <v>548</v>
      </c>
      <c r="C743" s="253" t="s">
        <v>1026</v>
      </c>
      <c r="D743" s="253"/>
      <c r="E743" s="253" t="s">
        <v>1027</v>
      </c>
      <c r="F743" s="253"/>
      <c r="G743" s="253" t="s">
        <v>1455</v>
      </c>
      <c r="H743" s="253"/>
      <c r="I743" s="14" t="s">
        <v>1456</v>
      </c>
      <c r="O743" s="102" t="e">
        <f>SUM(5*#REF!)/175</f>
        <v>#REF!</v>
      </c>
    </row>
    <row r="744" spans="2:15" x14ac:dyDescent="0.25">
      <c r="B744" s="14"/>
      <c r="C744" s="189"/>
      <c r="D744" s="189"/>
      <c r="E744" s="189"/>
      <c r="F744" s="189"/>
      <c r="G744" s="189"/>
      <c r="H744" s="189"/>
      <c r="I744" s="14" t="s">
        <v>1457</v>
      </c>
      <c r="O744" s="98"/>
    </row>
    <row r="745" spans="2:15" x14ac:dyDescent="0.25">
      <c r="B745" s="13" t="s">
        <v>1458</v>
      </c>
      <c r="C745" s="252" t="s">
        <v>390</v>
      </c>
      <c r="D745" s="252"/>
      <c r="E745" s="252" t="s">
        <v>1326</v>
      </c>
      <c r="F745" s="252"/>
      <c r="G745" s="252" t="s">
        <v>392</v>
      </c>
      <c r="H745" s="252"/>
      <c r="I745" s="14" t="s">
        <v>1459</v>
      </c>
      <c r="O745" s="102" t="e">
        <f>SUM(0.5*#REF!)/175</f>
        <v>#REF!</v>
      </c>
    </row>
    <row r="746" spans="2:15" x14ac:dyDescent="0.25">
      <c r="B746" s="13"/>
      <c r="C746" s="188"/>
      <c r="D746" s="188"/>
      <c r="E746" s="188"/>
      <c r="F746" s="188"/>
      <c r="G746" s="188"/>
      <c r="H746" s="188"/>
      <c r="I746" s="14" t="s">
        <v>1460</v>
      </c>
      <c r="O746" s="98"/>
    </row>
    <row r="747" spans="2:15" x14ac:dyDescent="0.25">
      <c r="B747" s="31" t="s">
        <v>1461</v>
      </c>
      <c r="C747" s="255" t="s">
        <v>1462</v>
      </c>
      <c r="D747" s="255"/>
      <c r="E747" s="313" t="s">
        <v>1463</v>
      </c>
      <c r="F747" s="313"/>
      <c r="G747" s="313" t="s">
        <v>1464</v>
      </c>
      <c r="H747" s="313"/>
      <c r="I747" s="14" t="s">
        <v>1465</v>
      </c>
      <c r="O747" s="98" t="e">
        <f>'Dressing,Sauce,Gravy(400-499)'!O34*1.5</f>
        <v>#REF!</v>
      </c>
    </row>
    <row r="748" spans="2:15" x14ac:dyDescent="0.25">
      <c r="B748" s="31" t="s">
        <v>1466</v>
      </c>
      <c r="C748" s="191"/>
      <c r="D748" s="191"/>
      <c r="E748" s="191"/>
      <c r="F748" s="191"/>
      <c r="G748" s="191"/>
      <c r="H748" s="191"/>
      <c r="I748" s="14" t="s">
        <v>1467</v>
      </c>
      <c r="O748" s="98"/>
    </row>
    <row r="749" spans="2:15" x14ac:dyDescent="0.25">
      <c r="B749" s="13" t="s">
        <v>1468</v>
      </c>
      <c r="C749" s="252" t="s">
        <v>392</v>
      </c>
      <c r="D749" s="252"/>
      <c r="E749" s="252" t="s">
        <v>786</v>
      </c>
      <c r="F749" s="252"/>
      <c r="G749" s="252" t="s">
        <v>789</v>
      </c>
      <c r="H749" s="252"/>
      <c r="O749" s="98" t="e">
        <f>SUM(1*#REF!)/175</f>
        <v>#REF!</v>
      </c>
    </row>
    <row r="750" spans="2:15" x14ac:dyDescent="0.25">
      <c r="B750" s="13"/>
      <c r="C750" s="188"/>
      <c r="D750" s="188"/>
      <c r="E750" s="188"/>
      <c r="F750" s="188"/>
      <c r="G750" s="188"/>
      <c r="H750" s="188" t="s">
        <v>1469</v>
      </c>
      <c r="O750" s="98"/>
    </row>
    <row r="751" spans="2:15" x14ac:dyDescent="0.25">
      <c r="B751" s="31" t="s">
        <v>1470</v>
      </c>
      <c r="C751" s="255" t="s">
        <v>1429</v>
      </c>
      <c r="D751" s="255"/>
      <c r="E751" s="255" t="s">
        <v>491</v>
      </c>
      <c r="F751" s="255"/>
      <c r="G751" s="255" t="s">
        <v>1026</v>
      </c>
      <c r="H751" s="255"/>
      <c r="O751" s="102" t="e">
        <f>SUM(2.3*#REF!)/175</f>
        <v>#REF!</v>
      </c>
    </row>
    <row r="752" spans="2:15" x14ac:dyDescent="0.25">
      <c r="B752" s="31"/>
      <c r="C752" s="191"/>
      <c r="D752" s="191"/>
      <c r="E752" s="191"/>
      <c r="F752" s="191"/>
      <c r="G752" s="191"/>
      <c r="H752" s="191"/>
      <c r="O752" s="98"/>
    </row>
    <row r="753" spans="2:15" x14ac:dyDescent="0.25">
      <c r="B753" s="13" t="s">
        <v>1471</v>
      </c>
      <c r="C753" s="252" t="s">
        <v>374</v>
      </c>
      <c r="D753" s="252"/>
      <c r="E753" s="252" t="s">
        <v>789</v>
      </c>
      <c r="F753" s="252"/>
      <c r="G753" s="252" t="s">
        <v>355</v>
      </c>
      <c r="H753" s="252"/>
      <c r="O753" s="102" t="e">
        <f>SUM(1.5*#REF!)/175</f>
        <v>#REF!</v>
      </c>
    </row>
    <row r="754" spans="2:15" x14ac:dyDescent="0.25">
      <c r="B754" s="13"/>
      <c r="C754" s="188"/>
      <c r="D754" s="188"/>
      <c r="E754" s="188"/>
      <c r="F754" s="188"/>
      <c r="G754" s="188"/>
      <c r="H754" s="188"/>
      <c r="O754" s="98"/>
    </row>
    <row r="755" spans="2:15" x14ac:dyDescent="0.25">
      <c r="B755" s="31" t="s">
        <v>1472</v>
      </c>
      <c r="C755" s="255" t="s">
        <v>390</v>
      </c>
      <c r="D755" s="255"/>
      <c r="E755" s="255" t="s">
        <v>391</v>
      </c>
      <c r="F755" s="255"/>
      <c r="G755" s="255" t="s">
        <v>395</v>
      </c>
      <c r="H755" s="255"/>
      <c r="O755" s="105" t="e">
        <f>SUM(0.5*#REF!)/175</f>
        <v>#REF!</v>
      </c>
    </row>
    <row r="756" spans="2:15" ht="15.75" thickBot="1" x14ac:dyDescent="0.3">
      <c r="B756" s="31"/>
      <c r="C756" s="31"/>
      <c r="D756" s="31"/>
      <c r="E756" s="31"/>
      <c r="F756" s="31"/>
      <c r="G756" s="31"/>
      <c r="H756" s="31"/>
      <c r="O756" s="98"/>
    </row>
    <row r="757" spans="2:15" x14ac:dyDescent="0.25">
      <c r="B757" s="217" t="s">
        <v>401</v>
      </c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9"/>
      <c r="O757" s="100" t="e">
        <f>SUM(O729:O755)</f>
        <v>#REF!</v>
      </c>
    </row>
    <row r="758" spans="2:15" x14ac:dyDescent="0.25">
      <c r="B758" s="3" t="s">
        <v>402</v>
      </c>
      <c r="C758" s="232" t="s">
        <v>403</v>
      </c>
      <c r="D758" s="232"/>
      <c r="E758" s="233" t="s">
        <v>404</v>
      </c>
      <c r="F758" s="233"/>
      <c r="G758" s="232" t="s">
        <v>405</v>
      </c>
      <c r="H758" s="232"/>
      <c r="I758" s="232" t="s">
        <v>406</v>
      </c>
      <c r="J758" s="232"/>
      <c r="K758" s="234" t="s">
        <v>407</v>
      </c>
      <c r="L758" s="235"/>
      <c r="M758" s="236"/>
      <c r="O758" s="98"/>
    </row>
    <row r="759" spans="2:15" ht="15.75" thickBot="1" x14ac:dyDescent="0.3">
      <c r="B759" s="5">
        <v>2.1</v>
      </c>
      <c r="C759" s="237">
        <v>1.8</v>
      </c>
      <c r="D759" s="238"/>
      <c r="E759" s="239">
        <v>0.38737500000000002</v>
      </c>
      <c r="F759" s="238"/>
      <c r="G759" s="240"/>
      <c r="H759" s="240"/>
      <c r="I759" s="241"/>
      <c r="J759" s="241"/>
      <c r="K759" s="242">
        <v>8.0000000000000002E-3</v>
      </c>
      <c r="L759" s="243"/>
      <c r="M759" s="244"/>
      <c r="O759" s="98"/>
    </row>
    <row r="760" spans="2:15" x14ac:dyDescent="0.25">
      <c r="B760" s="1"/>
      <c r="C760" s="1"/>
      <c r="D760" s="1"/>
      <c r="E760" s="1"/>
      <c r="F760" s="1"/>
      <c r="G760" s="1"/>
      <c r="H760" s="1"/>
    </row>
    <row r="761" spans="2:15" x14ac:dyDescent="0.25">
      <c r="B761" s="217" t="s">
        <v>408</v>
      </c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9"/>
    </row>
    <row r="762" spans="2:15" x14ac:dyDescent="0.25">
      <c r="B762" s="122" t="s">
        <v>1473</v>
      </c>
      <c r="C762" s="220" t="s">
        <v>1474</v>
      </c>
      <c r="D762" s="220"/>
      <c r="E762" s="221" t="s">
        <v>1411</v>
      </c>
      <c r="F762" s="221"/>
      <c r="G762" s="221" t="s">
        <v>1475</v>
      </c>
      <c r="H762" s="221"/>
      <c r="I762" s="220" t="s">
        <v>1476</v>
      </c>
      <c r="J762" s="220"/>
      <c r="K762" s="220" t="s">
        <v>1477</v>
      </c>
      <c r="L762" s="220"/>
      <c r="M762" s="222"/>
    </row>
    <row r="763" spans="2:15" x14ac:dyDescent="0.25">
      <c r="B763" s="123" t="s">
        <v>1181</v>
      </c>
      <c r="C763" s="225" t="s">
        <v>1478</v>
      </c>
      <c r="D763" s="226"/>
      <c r="E763" s="227" t="s">
        <v>1479</v>
      </c>
      <c r="F763" s="227"/>
      <c r="G763" s="223" t="s">
        <v>1480</v>
      </c>
      <c r="H763" s="223"/>
      <c r="I763" s="227" t="s">
        <v>1481</v>
      </c>
      <c r="J763" s="227"/>
      <c r="K763" s="223" t="s">
        <v>1482</v>
      </c>
      <c r="L763" s="223"/>
      <c r="M763" s="224"/>
    </row>
    <row r="764" spans="2:15" x14ac:dyDescent="0.25">
      <c r="B764" s="124" t="s">
        <v>939</v>
      </c>
      <c r="C764" s="245" t="s">
        <v>830</v>
      </c>
      <c r="D764" s="246"/>
      <c r="E764" s="248" t="s">
        <v>1483</v>
      </c>
      <c r="F764" s="248"/>
      <c r="G764" s="247" t="s">
        <v>1484</v>
      </c>
      <c r="H764" s="247"/>
      <c r="I764" s="247" t="s">
        <v>1485</v>
      </c>
      <c r="J764" s="247"/>
      <c r="K764" s="247" t="s">
        <v>1486</v>
      </c>
      <c r="L764" s="247"/>
      <c r="M764" s="249"/>
    </row>
    <row r="765" spans="2:15" x14ac:dyDescent="0.25">
      <c r="B765" s="202"/>
      <c r="C765" s="319"/>
      <c r="D765" s="319"/>
      <c r="E765" s="320"/>
      <c r="F765" s="320"/>
      <c r="G765" s="319"/>
      <c r="H765" s="319"/>
      <c r="I765" s="319"/>
      <c r="J765" s="319"/>
      <c r="K765" s="319"/>
      <c r="L765" s="319"/>
      <c r="M765" s="319"/>
    </row>
    <row r="766" spans="2:15" ht="23.25" x14ac:dyDescent="0.35">
      <c r="B766" s="29" t="s">
        <v>334</v>
      </c>
      <c r="C766" s="229" t="s">
        <v>194</v>
      </c>
      <c r="D766" s="229"/>
      <c r="E766" s="229"/>
      <c r="F766" s="229"/>
      <c r="G766" s="229"/>
      <c r="H766" s="229"/>
      <c r="I766" s="229"/>
      <c r="J766" s="229"/>
    </row>
    <row r="767" spans="2:15" ht="18.75" x14ac:dyDescent="0.3">
      <c r="B767" s="12" t="s">
        <v>335</v>
      </c>
      <c r="C767" s="195" t="s">
        <v>336</v>
      </c>
      <c r="D767" s="228" t="s">
        <v>427</v>
      </c>
      <c r="E767" s="228"/>
      <c r="F767" s="1" t="s">
        <v>1487</v>
      </c>
      <c r="L767" s="12" t="s">
        <v>339</v>
      </c>
      <c r="M767" s="6" t="s">
        <v>193</v>
      </c>
    </row>
    <row r="768" spans="2:15" x14ac:dyDescent="0.25">
      <c r="F768" s="1" t="s">
        <v>1488</v>
      </c>
    </row>
    <row r="769" spans="2:13" x14ac:dyDescent="0.25">
      <c r="B769" s="2" t="s">
        <v>341</v>
      </c>
      <c r="C769" s="250" t="s">
        <v>1489</v>
      </c>
      <c r="D769" s="250"/>
      <c r="E769" s="250" t="s">
        <v>1490</v>
      </c>
      <c r="F769" s="250"/>
      <c r="G769" s="312" t="s">
        <v>1261</v>
      </c>
      <c r="H769" s="312"/>
      <c r="I769" s="228" t="s">
        <v>345</v>
      </c>
      <c r="J769" s="228"/>
      <c r="K769" s="228"/>
      <c r="L769" s="228"/>
      <c r="M769" s="228"/>
    </row>
    <row r="770" spans="2:13" x14ac:dyDescent="0.25">
      <c r="C770" s="251"/>
      <c r="D770" s="251"/>
      <c r="E770" s="251"/>
      <c r="F770" s="251"/>
      <c r="G770" s="251"/>
      <c r="H770" s="251"/>
      <c r="I770" s="7"/>
      <c r="J770" s="7"/>
      <c r="K770" s="7"/>
      <c r="L770" s="7"/>
      <c r="M770" s="7"/>
    </row>
    <row r="771" spans="2:13" x14ac:dyDescent="0.25">
      <c r="B771" s="11" t="s">
        <v>347</v>
      </c>
      <c r="C771" s="252" t="s">
        <v>1491</v>
      </c>
      <c r="D771" s="252"/>
      <c r="E771" s="252" t="s">
        <v>349</v>
      </c>
      <c r="F771" s="252"/>
      <c r="G771" s="252" t="s">
        <v>1492</v>
      </c>
      <c r="H771" s="252"/>
      <c r="I771" s="14" t="s">
        <v>1493</v>
      </c>
      <c r="J771" s="7"/>
      <c r="K771" s="7"/>
      <c r="L771" s="7"/>
      <c r="M771" s="7"/>
    </row>
    <row r="772" spans="2:13" x14ac:dyDescent="0.25">
      <c r="B772" s="11" t="s">
        <v>1494</v>
      </c>
      <c r="C772" s="188"/>
      <c r="D772" s="188"/>
      <c r="E772" s="188"/>
      <c r="F772" s="188"/>
      <c r="G772" s="188"/>
      <c r="H772" s="188"/>
      <c r="I772" s="14" t="s">
        <v>1495</v>
      </c>
      <c r="J772" s="7"/>
      <c r="K772" s="7"/>
      <c r="L772" s="7"/>
      <c r="M772" s="7"/>
    </row>
    <row r="773" spans="2:13" x14ac:dyDescent="0.25">
      <c r="B773" s="1" t="s">
        <v>1496</v>
      </c>
      <c r="C773" s="253" t="s">
        <v>383</v>
      </c>
      <c r="D773" s="253"/>
      <c r="E773" s="253" t="s">
        <v>399</v>
      </c>
      <c r="F773" s="253"/>
      <c r="G773" s="253" t="s">
        <v>1497</v>
      </c>
      <c r="H773" s="253"/>
      <c r="I773" s="14" t="s">
        <v>1498</v>
      </c>
      <c r="J773" s="7"/>
      <c r="K773" s="7"/>
      <c r="L773" s="7"/>
      <c r="M773" s="7"/>
    </row>
    <row r="774" spans="2:13" x14ac:dyDescent="0.25">
      <c r="B774" s="1"/>
      <c r="C774" s="253"/>
      <c r="D774" s="253"/>
      <c r="E774" s="253"/>
      <c r="F774" s="253"/>
      <c r="G774" s="253"/>
      <c r="H774" s="253"/>
      <c r="I774" s="14" t="s">
        <v>1499</v>
      </c>
      <c r="J774" s="7"/>
      <c r="K774" s="7"/>
      <c r="L774" s="7"/>
      <c r="M774" s="7"/>
    </row>
    <row r="775" spans="2:13" x14ac:dyDescent="0.25">
      <c r="B775" s="11" t="s">
        <v>1500</v>
      </c>
      <c r="C775" s="252" t="s">
        <v>1501</v>
      </c>
      <c r="D775" s="252"/>
      <c r="E775" s="252" t="s">
        <v>1502</v>
      </c>
      <c r="F775" s="252"/>
      <c r="G775" s="252" t="s">
        <v>1503</v>
      </c>
      <c r="H775" s="252"/>
      <c r="I775" s="14" t="s">
        <v>1504</v>
      </c>
      <c r="J775" s="7"/>
      <c r="K775" s="7"/>
      <c r="L775" s="7"/>
      <c r="M775" s="7"/>
    </row>
    <row r="776" spans="2:13" x14ac:dyDescent="0.25">
      <c r="B776" s="11"/>
      <c r="C776" s="188"/>
      <c r="D776" s="188"/>
      <c r="E776" s="188"/>
      <c r="F776" s="188"/>
      <c r="G776" s="188"/>
      <c r="H776" s="188"/>
      <c r="I776" s="14" t="s">
        <v>1505</v>
      </c>
      <c r="J776" s="7"/>
      <c r="K776" s="7"/>
      <c r="L776" s="7"/>
      <c r="M776" s="7"/>
    </row>
    <row r="777" spans="2:13" x14ac:dyDescent="0.25">
      <c r="B777" s="1" t="s">
        <v>1506</v>
      </c>
      <c r="C777" s="253" t="s">
        <v>1507</v>
      </c>
      <c r="D777" s="253"/>
      <c r="E777" s="253" t="s">
        <v>1508</v>
      </c>
      <c r="F777" s="253"/>
      <c r="G777" s="253" t="s">
        <v>1509</v>
      </c>
      <c r="H777" s="253"/>
      <c r="I777" s="14" t="s">
        <v>1510</v>
      </c>
      <c r="J777" s="7"/>
      <c r="K777" s="7"/>
      <c r="L777" s="7"/>
      <c r="M777" s="7"/>
    </row>
    <row r="778" spans="2:13" x14ac:dyDescent="0.25">
      <c r="B778" s="1"/>
      <c r="C778" s="189"/>
      <c r="D778" s="189"/>
      <c r="E778" s="189"/>
      <c r="F778" s="189"/>
      <c r="G778" s="189"/>
      <c r="H778" s="189"/>
      <c r="I778" s="14" t="s">
        <v>1511</v>
      </c>
      <c r="J778" s="7"/>
      <c r="K778" s="7"/>
      <c r="L778" s="7"/>
      <c r="M778" s="7"/>
    </row>
    <row r="779" spans="2:13" x14ac:dyDescent="0.25">
      <c r="B779" s="11" t="s">
        <v>1512</v>
      </c>
      <c r="C779" s="252" t="s">
        <v>1507</v>
      </c>
      <c r="D779" s="252"/>
      <c r="E779" s="252" t="s">
        <v>1508</v>
      </c>
      <c r="F779" s="252"/>
      <c r="G779" s="252" t="s">
        <v>1509</v>
      </c>
      <c r="H779" s="252"/>
      <c r="I779" s="14" t="s">
        <v>1513</v>
      </c>
      <c r="K779" s="7"/>
      <c r="L779" s="7"/>
      <c r="M779" s="7"/>
    </row>
    <row r="780" spans="2:13" x14ac:dyDescent="0.25">
      <c r="B780" s="11"/>
      <c r="C780" s="188"/>
      <c r="D780" s="188"/>
      <c r="E780" s="188"/>
      <c r="F780" s="188"/>
      <c r="G780" s="188"/>
      <c r="H780" s="188"/>
      <c r="I780" s="14" t="s">
        <v>1514</v>
      </c>
      <c r="J780" s="7"/>
      <c r="K780" s="7"/>
      <c r="L780" s="7"/>
      <c r="M780" s="7"/>
    </row>
    <row r="781" spans="2:13" x14ac:dyDescent="0.25">
      <c r="B781" s="1" t="s">
        <v>1515</v>
      </c>
      <c r="C781" s="253" t="s">
        <v>1516</v>
      </c>
      <c r="D781" s="253"/>
      <c r="E781" s="253" t="s">
        <v>1517</v>
      </c>
      <c r="F781" s="253"/>
      <c r="G781" s="253" t="s">
        <v>1518</v>
      </c>
      <c r="H781" s="253"/>
      <c r="I781" s="14" t="s">
        <v>1519</v>
      </c>
      <c r="J781" s="14"/>
      <c r="K781" s="7"/>
      <c r="L781" s="7"/>
      <c r="M781" s="7"/>
    </row>
    <row r="782" spans="2:13" x14ac:dyDescent="0.25">
      <c r="B782" s="1"/>
      <c r="C782" s="189"/>
      <c r="D782" s="189"/>
      <c r="E782" s="189"/>
      <c r="F782" s="189"/>
      <c r="G782" s="189"/>
      <c r="H782" s="189"/>
      <c r="I782" s="14" t="s">
        <v>1520</v>
      </c>
      <c r="J782" s="14"/>
      <c r="K782" s="7"/>
      <c r="L782" s="7"/>
      <c r="M782" s="7"/>
    </row>
    <row r="783" spans="2:13" x14ac:dyDescent="0.25">
      <c r="B783" s="11" t="s">
        <v>1046</v>
      </c>
      <c r="C783" s="265" t="s">
        <v>390</v>
      </c>
      <c r="D783" s="265"/>
      <c r="E783" s="265" t="s">
        <v>391</v>
      </c>
      <c r="F783" s="265"/>
      <c r="G783" s="265" t="s">
        <v>391</v>
      </c>
      <c r="H783" s="265"/>
      <c r="I783" s="14" t="s">
        <v>1521</v>
      </c>
      <c r="K783" s="7"/>
      <c r="L783" s="7"/>
      <c r="M783" s="7"/>
    </row>
    <row r="784" spans="2:13" x14ac:dyDescent="0.25">
      <c r="B784" s="11"/>
      <c r="C784" s="188"/>
      <c r="D784" s="188"/>
      <c r="E784" s="188"/>
      <c r="F784" s="188"/>
      <c r="G784" s="188"/>
      <c r="H784" s="188"/>
      <c r="I784" s="14"/>
    </row>
    <row r="785" spans="2:9" x14ac:dyDescent="0.25">
      <c r="B785" s="1" t="s">
        <v>1522</v>
      </c>
      <c r="C785" s="253" t="s">
        <v>508</v>
      </c>
      <c r="D785" s="253"/>
      <c r="E785" s="253" t="s">
        <v>455</v>
      </c>
      <c r="F785" s="253"/>
      <c r="G785" s="253" t="s">
        <v>678</v>
      </c>
      <c r="H785" s="253"/>
      <c r="I785" s="14" t="s">
        <v>1523</v>
      </c>
    </row>
    <row r="786" spans="2:9" x14ac:dyDescent="0.25">
      <c r="B786" s="1"/>
      <c r="C786" s="253"/>
      <c r="D786" s="253"/>
      <c r="E786" s="253"/>
      <c r="F786" s="253"/>
      <c r="G786" s="253"/>
      <c r="H786" s="253"/>
      <c r="I786" s="14" t="s">
        <v>1524</v>
      </c>
    </row>
    <row r="787" spans="2:9" x14ac:dyDescent="0.25">
      <c r="B787" s="11" t="s">
        <v>1525</v>
      </c>
      <c r="C787" s="252" t="s">
        <v>789</v>
      </c>
      <c r="D787" s="252"/>
      <c r="E787" s="252" t="s">
        <v>398</v>
      </c>
      <c r="F787" s="252"/>
      <c r="G787" s="252" t="s">
        <v>1194</v>
      </c>
      <c r="H787" s="252"/>
      <c r="I787" s="14"/>
    </row>
    <row r="788" spans="2:9" x14ac:dyDescent="0.25">
      <c r="B788" s="11"/>
      <c r="C788" s="188"/>
      <c r="D788" s="188"/>
      <c r="E788" s="188"/>
      <c r="F788" s="188"/>
      <c r="G788" s="188"/>
      <c r="H788" s="188"/>
      <c r="I788" s="14" t="s">
        <v>1526</v>
      </c>
    </row>
    <row r="789" spans="2:9" x14ac:dyDescent="0.25">
      <c r="B789" s="1" t="s">
        <v>457</v>
      </c>
      <c r="C789" s="253" t="s">
        <v>789</v>
      </c>
      <c r="D789" s="253"/>
      <c r="E789" s="253" t="s">
        <v>398</v>
      </c>
      <c r="F789" s="253"/>
      <c r="G789" s="253" t="s">
        <v>1194</v>
      </c>
      <c r="H789" s="253"/>
      <c r="I789" s="14" t="s">
        <v>1527</v>
      </c>
    </row>
    <row r="790" spans="2:9" x14ac:dyDescent="0.25">
      <c r="B790" s="1"/>
      <c r="C790" s="189"/>
      <c r="D790" s="189"/>
      <c r="E790" s="189"/>
      <c r="F790" s="189"/>
      <c r="G790" s="189"/>
      <c r="H790" s="189"/>
      <c r="I790" s="14"/>
    </row>
    <row r="791" spans="2:9" x14ac:dyDescent="0.25">
      <c r="B791" s="11" t="s">
        <v>1528</v>
      </c>
      <c r="C791" s="252" t="s">
        <v>1529</v>
      </c>
      <c r="D791" s="252"/>
      <c r="E791" s="252" t="s">
        <v>1530</v>
      </c>
      <c r="F791" s="252"/>
      <c r="G791" s="252" t="s">
        <v>1531</v>
      </c>
      <c r="H791" s="252"/>
      <c r="I791" s="14" t="s">
        <v>1532</v>
      </c>
    </row>
    <row r="792" spans="2:9" x14ac:dyDescent="0.25">
      <c r="B792" s="11"/>
      <c r="C792" s="188"/>
      <c r="D792" s="188"/>
      <c r="E792" s="188"/>
      <c r="F792" s="188"/>
      <c r="G792" s="188"/>
      <c r="H792" s="188"/>
      <c r="I792" s="14" t="s">
        <v>1533</v>
      </c>
    </row>
    <row r="793" spans="2:9" x14ac:dyDescent="0.25">
      <c r="B793" s="1" t="s">
        <v>1534</v>
      </c>
      <c r="C793" s="253" t="s">
        <v>1194</v>
      </c>
      <c r="D793" s="253"/>
      <c r="E793" s="253" t="s">
        <v>1024</v>
      </c>
      <c r="F793" s="253"/>
      <c r="G793" s="253" t="s">
        <v>1042</v>
      </c>
      <c r="H793" s="253"/>
      <c r="I793" s="14"/>
    </row>
    <row r="794" spans="2:9" x14ac:dyDescent="0.25">
      <c r="B794" s="1"/>
      <c r="C794" s="189"/>
      <c r="D794" s="189"/>
      <c r="E794" s="189"/>
      <c r="F794" s="189"/>
      <c r="G794" s="189"/>
      <c r="H794" s="189"/>
      <c r="I794" s="14" t="s">
        <v>1535</v>
      </c>
    </row>
    <row r="795" spans="2:9" x14ac:dyDescent="0.25">
      <c r="B795" s="11" t="s">
        <v>1536</v>
      </c>
      <c r="C795" s="252" t="s">
        <v>486</v>
      </c>
      <c r="D795" s="252"/>
      <c r="E795" s="252" t="s">
        <v>880</v>
      </c>
      <c r="F795" s="252"/>
      <c r="G795" s="252" t="s">
        <v>880</v>
      </c>
      <c r="H795" s="252"/>
      <c r="I795" s="14" t="s">
        <v>1537</v>
      </c>
    </row>
    <row r="796" spans="2:9" x14ac:dyDescent="0.25">
      <c r="B796" s="11"/>
      <c r="C796" s="188"/>
      <c r="D796" s="188"/>
      <c r="E796" s="188"/>
      <c r="F796" s="188"/>
      <c r="G796" s="188"/>
      <c r="H796" s="188"/>
      <c r="I796" s="14"/>
    </row>
    <row r="797" spans="2:9" x14ac:dyDescent="0.25">
      <c r="B797" s="1" t="s">
        <v>1051</v>
      </c>
      <c r="C797" s="253" t="s">
        <v>486</v>
      </c>
      <c r="D797" s="253"/>
      <c r="E797" s="253" t="s">
        <v>880</v>
      </c>
      <c r="F797" s="253"/>
      <c r="G797" s="253" t="s">
        <v>880</v>
      </c>
      <c r="H797" s="253"/>
      <c r="I797" s="14"/>
    </row>
    <row r="798" spans="2:9" x14ac:dyDescent="0.25">
      <c r="B798" s="1"/>
      <c r="C798" s="189"/>
      <c r="D798" s="189"/>
      <c r="E798" s="189"/>
      <c r="F798" s="189"/>
      <c r="G798" s="189"/>
      <c r="H798" s="189"/>
      <c r="I798" s="14"/>
    </row>
    <row r="799" spans="2:9" x14ac:dyDescent="0.25">
      <c r="B799" s="11" t="s">
        <v>1538</v>
      </c>
      <c r="C799" s="252" t="s">
        <v>1539</v>
      </c>
      <c r="D799" s="252"/>
      <c r="E799" s="252" t="s">
        <v>1540</v>
      </c>
      <c r="F799" s="252"/>
      <c r="G799" s="252" t="s">
        <v>1541</v>
      </c>
      <c r="H799" s="252"/>
      <c r="I799" s="14"/>
    </row>
    <row r="800" spans="2:9" x14ac:dyDescent="0.25">
      <c r="B800" s="11" t="s">
        <v>1542</v>
      </c>
      <c r="C800" s="188"/>
      <c r="D800" s="188"/>
      <c r="E800" s="188"/>
      <c r="F800" s="188"/>
      <c r="G800" s="188"/>
      <c r="H800" s="188"/>
    </row>
    <row r="801" spans="2:13" x14ac:dyDescent="0.25">
      <c r="B801" s="1" t="s">
        <v>1543</v>
      </c>
      <c r="C801" s="253" t="s">
        <v>597</v>
      </c>
      <c r="D801" s="253"/>
      <c r="E801" s="253" t="s">
        <v>956</v>
      </c>
      <c r="F801" s="253"/>
      <c r="G801" s="253" t="s">
        <v>1544</v>
      </c>
      <c r="H801" s="253"/>
    </row>
    <row r="802" spans="2:13" x14ac:dyDescent="0.25">
      <c r="B802" s="1"/>
      <c r="C802" s="189"/>
      <c r="D802" s="189"/>
      <c r="E802" s="189"/>
      <c r="F802" s="189"/>
      <c r="G802" s="189"/>
      <c r="H802" s="189"/>
    </row>
    <row r="803" spans="2:13" x14ac:dyDescent="0.25">
      <c r="B803" s="11" t="s">
        <v>1545</v>
      </c>
      <c r="C803" s="252" t="s">
        <v>1546</v>
      </c>
      <c r="D803" s="252"/>
      <c r="E803" s="252" t="s">
        <v>1547</v>
      </c>
      <c r="F803" s="252"/>
      <c r="G803" s="252" t="s">
        <v>1548</v>
      </c>
      <c r="H803" s="252"/>
    </row>
    <row r="804" spans="2:13" x14ac:dyDescent="0.25">
      <c r="B804" s="11"/>
      <c r="C804" s="188"/>
      <c r="D804" s="188"/>
      <c r="E804" s="188"/>
      <c r="F804" s="188"/>
      <c r="G804" s="188"/>
      <c r="H804" s="188"/>
    </row>
    <row r="805" spans="2:13" x14ac:dyDescent="0.25">
      <c r="B805" s="32" t="s">
        <v>1549</v>
      </c>
      <c r="C805" s="255" t="s">
        <v>1037</v>
      </c>
      <c r="D805" s="255"/>
      <c r="E805" s="255" t="s">
        <v>1038</v>
      </c>
      <c r="F805" s="255"/>
      <c r="G805" s="255" t="s">
        <v>791</v>
      </c>
      <c r="H805" s="255"/>
    </row>
    <row r="806" spans="2:13" x14ac:dyDescent="0.25">
      <c r="B806" s="32"/>
      <c r="C806" s="31"/>
      <c r="D806" s="191"/>
      <c r="E806" s="31"/>
      <c r="F806" s="191"/>
      <c r="G806" s="31"/>
      <c r="H806" s="191"/>
    </row>
    <row r="807" spans="2:13" x14ac:dyDescent="0.25">
      <c r="B807" s="11" t="s">
        <v>1122</v>
      </c>
      <c r="C807" s="252" t="s">
        <v>390</v>
      </c>
      <c r="D807" s="252"/>
      <c r="E807" s="252" t="s">
        <v>1550</v>
      </c>
      <c r="F807" s="252"/>
      <c r="G807" s="252" t="s">
        <v>391</v>
      </c>
      <c r="H807" s="252"/>
    </row>
    <row r="808" spans="2:13" x14ac:dyDescent="0.25">
      <c r="B808" s="11"/>
      <c r="C808" s="188"/>
      <c r="D808" s="188"/>
      <c r="E808" s="188"/>
      <c r="F808" s="188"/>
      <c r="G808" s="188"/>
      <c r="H808" s="188"/>
    </row>
    <row r="809" spans="2:13" x14ac:dyDescent="0.25">
      <c r="B809" s="32" t="s">
        <v>1408</v>
      </c>
      <c r="C809" s="255" t="s">
        <v>789</v>
      </c>
      <c r="D809" s="255"/>
      <c r="E809" s="255" t="s">
        <v>398</v>
      </c>
      <c r="F809" s="255"/>
      <c r="G809" s="255" t="s">
        <v>1194</v>
      </c>
      <c r="H809" s="255"/>
    </row>
    <row r="810" spans="2:13" x14ac:dyDescent="0.25">
      <c r="B810" s="32"/>
      <c r="C810" s="191"/>
      <c r="D810" s="191"/>
      <c r="E810" s="191"/>
      <c r="F810" s="191"/>
      <c r="G810" s="191"/>
      <c r="H810" s="191"/>
    </row>
    <row r="811" spans="2:13" x14ac:dyDescent="0.25">
      <c r="B811" s="11" t="s">
        <v>518</v>
      </c>
      <c r="C811" s="252" t="s">
        <v>742</v>
      </c>
      <c r="D811" s="252"/>
      <c r="E811" s="252" t="s">
        <v>1053</v>
      </c>
      <c r="F811" s="252"/>
      <c r="G811" s="252" t="s">
        <v>1551</v>
      </c>
      <c r="H811" s="252"/>
    </row>
    <row r="812" spans="2:13" ht="15.75" thickBot="1" x14ac:dyDescent="0.3">
      <c r="B812" s="11"/>
      <c r="C812" s="188"/>
      <c r="D812" s="188"/>
      <c r="E812" s="188"/>
      <c r="F812" s="188"/>
      <c r="G812" s="188"/>
      <c r="H812" s="188"/>
    </row>
    <row r="813" spans="2:13" x14ac:dyDescent="0.25">
      <c r="B813" s="217" t="s">
        <v>401</v>
      </c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9"/>
    </row>
    <row r="814" spans="2:13" x14ac:dyDescent="0.25">
      <c r="B814" s="3" t="s">
        <v>402</v>
      </c>
      <c r="C814" s="232" t="s">
        <v>403</v>
      </c>
      <c r="D814" s="232"/>
      <c r="E814" s="232" t="s">
        <v>467</v>
      </c>
      <c r="F814" s="232"/>
      <c r="G814" s="232" t="s">
        <v>405</v>
      </c>
      <c r="H814" s="232"/>
      <c r="I814" s="232" t="s">
        <v>406</v>
      </c>
      <c r="J814" s="232"/>
      <c r="K814" s="234" t="s">
        <v>468</v>
      </c>
      <c r="L814" s="235"/>
      <c r="M814" s="236"/>
    </row>
    <row r="815" spans="2:13" ht="15.75" thickBot="1" x14ac:dyDescent="0.3">
      <c r="B815" s="5">
        <v>2</v>
      </c>
      <c r="C815" s="237" t="s">
        <v>1552</v>
      </c>
      <c r="D815" s="238"/>
      <c r="E815" s="239">
        <v>0.16550000000000001</v>
      </c>
      <c r="F815" s="238"/>
      <c r="G815" s="240"/>
      <c r="H815" s="240"/>
      <c r="I815" s="240">
        <v>0.17</v>
      </c>
      <c r="J815" s="240"/>
      <c r="K815" s="242"/>
      <c r="L815" s="243"/>
      <c r="M815" s="244"/>
    </row>
    <row r="816" spans="2:13" ht="15.75" thickBot="1" x14ac:dyDescent="0.3">
      <c r="B816" s="1"/>
      <c r="C816" s="1"/>
      <c r="D816" s="1"/>
      <c r="E816" s="1"/>
      <c r="F816" s="1"/>
      <c r="G816" s="1"/>
      <c r="H816" s="1"/>
    </row>
    <row r="817" spans="2:13" x14ac:dyDescent="0.25">
      <c r="B817" s="217" t="s">
        <v>408</v>
      </c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9"/>
    </row>
    <row r="818" spans="2:13" x14ac:dyDescent="0.25">
      <c r="B818" s="3" t="s">
        <v>616</v>
      </c>
      <c r="C818" s="232" t="s">
        <v>1553</v>
      </c>
      <c r="D818" s="232"/>
      <c r="E818" s="268" t="s">
        <v>1554</v>
      </c>
      <c r="F818" s="268"/>
      <c r="G818" s="233" t="s">
        <v>1555</v>
      </c>
      <c r="H818" s="233"/>
      <c r="I818" s="232" t="s">
        <v>1556</v>
      </c>
      <c r="J818" s="232"/>
      <c r="K818" s="232" t="s">
        <v>1557</v>
      </c>
      <c r="L818" s="232"/>
      <c r="M818" s="269"/>
    </row>
    <row r="819" spans="2:13" ht="15.75" thickBot="1" x14ac:dyDescent="0.3">
      <c r="B819" s="5" t="s">
        <v>1558</v>
      </c>
      <c r="C819" s="240" t="s">
        <v>1559</v>
      </c>
      <c r="D819" s="240"/>
      <c r="E819" s="240" t="s">
        <v>1560</v>
      </c>
      <c r="F819" s="240"/>
      <c r="G819" s="240" t="s">
        <v>1561</v>
      </c>
      <c r="H819" s="240"/>
      <c r="I819" s="266" t="s">
        <v>1562</v>
      </c>
      <c r="J819" s="266"/>
      <c r="K819" s="240" t="s">
        <v>1563</v>
      </c>
      <c r="L819" s="240"/>
      <c r="M819" s="267"/>
    </row>
    <row r="821" spans="2:13" ht="23.25" x14ac:dyDescent="0.35">
      <c r="B821" s="29" t="s">
        <v>334</v>
      </c>
      <c r="C821" s="229" t="s">
        <v>208</v>
      </c>
      <c r="D821" s="229"/>
      <c r="E821" s="229"/>
      <c r="F821" s="229"/>
      <c r="G821" s="229"/>
      <c r="H821" s="229"/>
      <c r="I821" s="229"/>
      <c r="J821" s="229"/>
      <c r="K821" s="229"/>
    </row>
    <row r="822" spans="2:13" ht="18.75" x14ac:dyDescent="0.3">
      <c r="B822" s="12" t="s">
        <v>335</v>
      </c>
      <c r="C822" s="195" t="s">
        <v>336</v>
      </c>
      <c r="D822" s="228" t="s">
        <v>427</v>
      </c>
      <c r="E822" s="228"/>
      <c r="F822" s="1" t="s">
        <v>1564</v>
      </c>
      <c r="L822" s="12" t="s">
        <v>339</v>
      </c>
      <c r="M822" s="6" t="s">
        <v>207</v>
      </c>
    </row>
    <row r="824" spans="2:13" x14ac:dyDescent="0.25">
      <c r="B824" s="2" t="s">
        <v>341</v>
      </c>
      <c r="C824" s="250" t="s">
        <v>342</v>
      </c>
      <c r="D824" s="250"/>
      <c r="E824" s="250" t="s">
        <v>343</v>
      </c>
      <c r="F824" s="250"/>
      <c r="G824" s="250" t="s">
        <v>954</v>
      </c>
      <c r="H824" s="250"/>
      <c r="I824" s="228" t="s">
        <v>345</v>
      </c>
      <c r="J824" s="228"/>
      <c r="K824" s="228"/>
      <c r="L824" s="228"/>
      <c r="M824" s="228"/>
    </row>
    <row r="825" spans="2:13" x14ac:dyDescent="0.25">
      <c r="C825" s="251"/>
      <c r="D825" s="251"/>
      <c r="E825" s="251"/>
      <c r="F825" s="251"/>
      <c r="G825" s="251"/>
      <c r="H825" s="251"/>
      <c r="I825" s="7"/>
      <c r="J825" s="7"/>
      <c r="K825" s="7"/>
      <c r="L825" s="7"/>
      <c r="M825" s="7"/>
    </row>
    <row r="826" spans="2:13" x14ac:dyDescent="0.25">
      <c r="B826" s="11" t="s">
        <v>1565</v>
      </c>
      <c r="C826" s="252" t="s">
        <v>545</v>
      </c>
      <c r="D826" s="252"/>
      <c r="E826" s="252" t="s">
        <v>984</v>
      </c>
      <c r="F826" s="252"/>
      <c r="G826" s="252" t="s">
        <v>985</v>
      </c>
      <c r="H826" s="252"/>
      <c r="I826" s="14" t="s">
        <v>1566</v>
      </c>
      <c r="J826" s="7"/>
      <c r="K826" s="7"/>
      <c r="L826" s="7"/>
      <c r="M826" s="7"/>
    </row>
    <row r="827" spans="2:13" x14ac:dyDescent="0.25">
      <c r="B827" s="11" t="s">
        <v>1567</v>
      </c>
      <c r="C827" s="188"/>
      <c r="D827" s="188"/>
      <c r="E827" s="188"/>
      <c r="F827" s="188"/>
      <c r="G827" s="188"/>
      <c r="H827" s="188"/>
      <c r="I827" s="14" t="s">
        <v>1568</v>
      </c>
      <c r="J827" s="7"/>
      <c r="K827" s="7"/>
      <c r="L827" s="7"/>
      <c r="M827" s="7"/>
    </row>
    <row r="828" spans="2:13" x14ac:dyDescent="0.25">
      <c r="B828" s="1" t="s">
        <v>1569</v>
      </c>
      <c r="C828" s="253" t="s">
        <v>1570</v>
      </c>
      <c r="D828" s="253"/>
      <c r="E828" s="253" t="s">
        <v>1571</v>
      </c>
      <c r="F828" s="253"/>
      <c r="G828" s="253" t="s">
        <v>1572</v>
      </c>
      <c r="H828" s="253"/>
      <c r="I828" s="14" t="s">
        <v>1573</v>
      </c>
      <c r="J828" s="7"/>
      <c r="K828" s="7"/>
      <c r="L828" s="7"/>
      <c r="M828" s="7"/>
    </row>
    <row r="829" spans="2:13" x14ac:dyDescent="0.25">
      <c r="B829" s="1"/>
      <c r="C829" s="189"/>
      <c r="D829" s="189"/>
      <c r="E829" s="189"/>
      <c r="F829" s="189"/>
      <c r="G829" s="189"/>
      <c r="H829" s="189"/>
      <c r="I829" s="14" t="s">
        <v>1574</v>
      </c>
      <c r="J829" s="7"/>
      <c r="K829" s="7"/>
      <c r="L829" s="7"/>
      <c r="M829" s="7"/>
    </row>
    <row r="830" spans="2:13" x14ac:dyDescent="0.25">
      <c r="B830" s="11" t="s">
        <v>1575</v>
      </c>
      <c r="C830" s="252" t="s">
        <v>1576</v>
      </c>
      <c r="D830" s="252"/>
      <c r="E830" s="252" t="s">
        <v>653</v>
      </c>
      <c r="F830" s="252"/>
      <c r="G830" s="252" t="s">
        <v>1577</v>
      </c>
      <c r="H830" s="252"/>
      <c r="I830" s="14" t="s">
        <v>1578</v>
      </c>
      <c r="J830" s="7"/>
      <c r="K830" s="7"/>
      <c r="L830" s="7"/>
      <c r="M830" s="7"/>
    </row>
    <row r="831" spans="2:13" x14ac:dyDescent="0.25">
      <c r="B831" s="11"/>
      <c r="C831" s="188"/>
      <c r="D831" s="188"/>
      <c r="E831" s="188"/>
      <c r="F831" s="188"/>
      <c r="G831" s="188"/>
      <c r="H831" s="188"/>
      <c r="I831" s="14" t="s">
        <v>1579</v>
      </c>
      <c r="J831" s="7"/>
      <c r="K831" s="7"/>
      <c r="L831" s="7"/>
      <c r="M831" s="7"/>
    </row>
    <row r="832" spans="2:13" x14ac:dyDescent="0.25">
      <c r="B832" s="1" t="s">
        <v>1580</v>
      </c>
      <c r="C832" s="253" t="s">
        <v>1238</v>
      </c>
      <c r="D832" s="253"/>
      <c r="E832" s="253" t="s">
        <v>1581</v>
      </c>
      <c r="F832" s="253"/>
      <c r="G832" s="253" t="s">
        <v>1240</v>
      </c>
      <c r="H832" s="253"/>
      <c r="I832" s="14" t="s">
        <v>1582</v>
      </c>
      <c r="J832" s="7"/>
      <c r="K832" s="7"/>
      <c r="L832" s="7"/>
      <c r="M832" s="7"/>
    </row>
    <row r="833" spans="2:13" x14ac:dyDescent="0.25">
      <c r="B833" s="1" t="s">
        <v>1583</v>
      </c>
      <c r="C833" s="189"/>
      <c r="D833" s="189"/>
      <c r="E833" s="189"/>
      <c r="F833" s="189"/>
      <c r="G833" s="189"/>
      <c r="H833" s="189"/>
      <c r="I833" s="14" t="s">
        <v>1584</v>
      </c>
      <c r="J833" s="7"/>
      <c r="K833" s="7"/>
      <c r="L833" s="7"/>
      <c r="M833" s="7"/>
    </row>
    <row r="834" spans="2:13" x14ac:dyDescent="0.25">
      <c r="B834" s="11" t="s">
        <v>1585</v>
      </c>
      <c r="C834" s="252" t="s">
        <v>1586</v>
      </c>
      <c r="D834" s="252"/>
      <c r="E834" s="252" t="s">
        <v>1240</v>
      </c>
      <c r="F834" s="252"/>
      <c r="G834" s="252" t="s">
        <v>967</v>
      </c>
      <c r="H834" s="252"/>
      <c r="I834" s="14" t="s">
        <v>1587</v>
      </c>
      <c r="K834" s="7"/>
      <c r="L834" s="7"/>
      <c r="M834" s="7"/>
    </row>
    <row r="835" spans="2:13" x14ac:dyDescent="0.25">
      <c r="B835" s="11"/>
      <c r="C835" s="188"/>
      <c r="D835" s="188"/>
      <c r="E835" s="188"/>
      <c r="F835" s="188"/>
      <c r="G835" s="188"/>
      <c r="H835" s="188"/>
      <c r="I835" s="14" t="s">
        <v>1588</v>
      </c>
      <c r="J835" s="7"/>
      <c r="K835" s="7"/>
      <c r="L835" s="7"/>
      <c r="M835" s="7"/>
    </row>
    <row r="836" spans="2:13" x14ac:dyDescent="0.25">
      <c r="B836" s="1" t="s">
        <v>1589</v>
      </c>
      <c r="C836" s="253" t="s">
        <v>1590</v>
      </c>
      <c r="D836" s="253"/>
      <c r="E836" s="253" t="s">
        <v>596</v>
      </c>
      <c r="F836" s="253"/>
      <c r="G836" s="253" t="s">
        <v>1591</v>
      </c>
      <c r="H836" s="253"/>
      <c r="I836" s="14" t="s">
        <v>1592</v>
      </c>
      <c r="J836" s="14"/>
      <c r="K836" s="7"/>
      <c r="L836" s="7"/>
      <c r="M836" s="7"/>
    </row>
    <row r="837" spans="2:13" x14ac:dyDescent="0.25">
      <c r="B837" s="1"/>
      <c r="C837" s="189"/>
      <c r="D837" s="189"/>
      <c r="E837" s="189"/>
      <c r="F837" s="189"/>
      <c r="G837" s="189"/>
      <c r="H837" s="189"/>
      <c r="I837" s="14" t="s">
        <v>1593</v>
      </c>
      <c r="J837" s="14"/>
      <c r="K837" s="7"/>
      <c r="L837" s="7"/>
      <c r="M837" s="7"/>
    </row>
    <row r="838" spans="2:13" x14ac:dyDescent="0.25">
      <c r="B838" s="11" t="s">
        <v>1594</v>
      </c>
      <c r="C838" s="252" t="s">
        <v>1595</v>
      </c>
      <c r="D838" s="252"/>
      <c r="E838" s="252" t="s">
        <v>654</v>
      </c>
      <c r="F838" s="252"/>
      <c r="G838" s="252" t="s">
        <v>1596</v>
      </c>
      <c r="H838" s="252"/>
      <c r="I838" s="14" t="s">
        <v>1597</v>
      </c>
      <c r="K838" s="7"/>
      <c r="L838" s="7"/>
      <c r="M838" s="7"/>
    </row>
    <row r="839" spans="2:13" x14ac:dyDescent="0.25">
      <c r="B839" s="11" t="s">
        <v>1598</v>
      </c>
      <c r="C839" s="188"/>
      <c r="D839" s="188"/>
      <c r="E839" s="188"/>
      <c r="F839" s="188"/>
      <c r="G839" s="188"/>
      <c r="H839" s="188"/>
      <c r="I839" s="14" t="s">
        <v>1599</v>
      </c>
    </row>
    <row r="840" spans="2:13" x14ac:dyDescent="0.25">
      <c r="B840" s="1" t="s">
        <v>961</v>
      </c>
      <c r="C840" s="253" t="s">
        <v>1600</v>
      </c>
      <c r="D840" s="253"/>
      <c r="E840" s="253" t="s">
        <v>1355</v>
      </c>
      <c r="F840" s="253"/>
      <c r="G840" s="253" t="s">
        <v>1356</v>
      </c>
      <c r="H840" s="253"/>
      <c r="I840" s="14" t="s">
        <v>1601</v>
      </c>
    </row>
    <row r="841" spans="2:13" ht="15.75" thickBot="1" x14ac:dyDescent="0.3">
      <c r="B841" s="1"/>
      <c r="C841" s="189"/>
      <c r="D841" s="189"/>
      <c r="E841" s="189"/>
      <c r="F841" s="189"/>
      <c r="G841" s="189"/>
      <c r="H841" s="189"/>
      <c r="I841" s="14" t="s">
        <v>1602</v>
      </c>
    </row>
    <row r="842" spans="2:13" x14ac:dyDescent="0.25">
      <c r="B842" s="217" t="s">
        <v>401</v>
      </c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9"/>
    </row>
    <row r="843" spans="2:13" x14ac:dyDescent="0.25">
      <c r="B843" s="3" t="s">
        <v>402</v>
      </c>
      <c r="C843" s="232" t="s">
        <v>403</v>
      </c>
      <c r="D843" s="232"/>
      <c r="E843" s="232" t="s">
        <v>467</v>
      </c>
      <c r="F843" s="232"/>
      <c r="G843" s="232" t="s">
        <v>405</v>
      </c>
      <c r="H843" s="232"/>
      <c r="I843" s="232" t="s">
        <v>406</v>
      </c>
      <c r="J843" s="232"/>
      <c r="K843" s="234" t="s">
        <v>468</v>
      </c>
      <c r="L843" s="235"/>
      <c r="M843" s="236"/>
    </row>
    <row r="844" spans="2:13" ht="15.75" thickBot="1" x14ac:dyDescent="0.3">
      <c r="B844" s="5">
        <v>1</v>
      </c>
      <c r="C844" s="237">
        <v>2</v>
      </c>
      <c r="D844" s="238"/>
      <c r="E844" s="239">
        <v>0.375</v>
      </c>
      <c r="F844" s="238"/>
      <c r="G844" s="240"/>
      <c r="H844" s="240"/>
      <c r="I844" s="241"/>
      <c r="J844" s="241"/>
      <c r="K844" s="242"/>
      <c r="L844" s="243"/>
      <c r="M844" s="244"/>
    </row>
    <row r="845" spans="2:13" ht="15.75" thickBot="1" x14ac:dyDescent="0.3">
      <c r="B845" s="1"/>
      <c r="C845" s="1"/>
      <c r="D845" s="1"/>
      <c r="E845" s="1"/>
      <c r="F845" s="1"/>
      <c r="G845" s="1"/>
      <c r="H845" s="1"/>
    </row>
    <row r="846" spans="2:13" x14ac:dyDescent="0.25">
      <c r="B846" s="217" t="s">
        <v>408</v>
      </c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9"/>
    </row>
    <row r="847" spans="2:13" x14ac:dyDescent="0.25">
      <c r="B847" s="3" t="s">
        <v>1603</v>
      </c>
      <c r="C847" s="232" t="s">
        <v>1604</v>
      </c>
      <c r="D847" s="232"/>
      <c r="E847" s="233" t="s">
        <v>1605</v>
      </c>
      <c r="F847" s="233"/>
      <c r="G847" s="233" t="s">
        <v>1606</v>
      </c>
      <c r="H847" s="233"/>
      <c r="I847" s="268" t="s">
        <v>1607</v>
      </c>
      <c r="J847" s="268"/>
      <c r="K847" s="232" t="s">
        <v>1608</v>
      </c>
      <c r="L847" s="232"/>
      <c r="M847" s="269"/>
    </row>
    <row r="848" spans="2:13" ht="15.75" thickBot="1" x14ac:dyDescent="0.3">
      <c r="B848" s="5" t="s">
        <v>1609</v>
      </c>
      <c r="C848" s="240" t="s">
        <v>1610</v>
      </c>
      <c r="D848" s="240"/>
      <c r="E848" s="266" t="s">
        <v>1611</v>
      </c>
      <c r="F848" s="266"/>
      <c r="G848" s="240" t="s">
        <v>1612</v>
      </c>
      <c r="H848" s="240"/>
      <c r="I848" s="266" t="s">
        <v>1613</v>
      </c>
      <c r="J848" s="266"/>
      <c r="K848" s="240" t="s">
        <v>1614</v>
      </c>
      <c r="L848" s="240"/>
      <c r="M848" s="267"/>
    </row>
    <row r="850" spans="2:15" ht="23.25" x14ac:dyDescent="0.35">
      <c r="B850" s="29" t="s">
        <v>334</v>
      </c>
      <c r="C850" s="229" t="s">
        <v>210</v>
      </c>
      <c r="D850" s="229"/>
      <c r="E850" s="229"/>
      <c r="F850" s="229"/>
      <c r="G850" s="229"/>
      <c r="H850" s="229"/>
      <c r="I850" s="229"/>
      <c r="J850" s="229"/>
      <c r="K850" s="229"/>
      <c r="L850" s="229"/>
      <c r="M850" s="229"/>
    </row>
    <row r="851" spans="2:15" ht="18.75" x14ac:dyDescent="0.3">
      <c r="B851" s="12" t="s">
        <v>335</v>
      </c>
      <c r="C851" s="195" t="s">
        <v>336</v>
      </c>
      <c r="D851" s="228" t="s">
        <v>427</v>
      </c>
      <c r="E851" s="228"/>
      <c r="F851" s="1" t="s">
        <v>1615</v>
      </c>
      <c r="L851" s="12" t="s">
        <v>339</v>
      </c>
      <c r="M851" s="6" t="s">
        <v>209</v>
      </c>
      <c r="O851" s="101" t="s">
        <v>481</v>
      </c>
    </row>
    <row r="853" spans="2:15" x14ac:dyDescent="0.25">
      <c r="B853" s="2" t="s">
        <v>341</v>
      </c>
      <c r="C853" s="250" t="s">
        <v>342</v>
      </c>
      <c r="D853" s="250"/>
      <c r="E853" s="250" t="s">
        <v>343</v>
      </c>
      <c r="F853" s="250"/>
      <c r="G853" s="250" t="s">
        <v>1616</v>
      </c>
      <c r="H853" s="250"/>
      <c r="I853" s="228" t="s">
        <v>345</v>
      </c>
      <c r="J853" s="228"/>
      <c r="K853" s="228"/>
      <c r="L853" s="228"/>
      <c r="M853" s="228"/>
      <c r="O853" s="9" t="s">
        <v>541</v>
      </c>
    </row>
    <row r="854" spans="2:15" x14ac:dyDescent="0.25">
      <c r="C854" s="251"/>
      <c r="D854" s="251"/>
      <c r="E854" s="251"/>
      <c r="F854" s="251"/>
      <c r="G854" s="251"/>
      <c r="H854" s="251"/>
      <c r="I854" s="7"/>
      <c r="J854" s="7"/>
      <c r="K854" s="7"/>
      <c r="L854" s="7"/>
      <c r="M854" s="7"/>
    </row>
    <row r="855" spans="2:15" x14ac:dyDescent="0.25">
      <c r="B855" s="11" t="s">
        <v>1617</v>
      </c>
      <c r="C855" s="252" t="s">
        <v>1618</v>
      </c>
      <c r="D855" s="252"/>
      <c r="E855" s="252" t="s">
        <v>1619</v>
      </c>
      <c r="F855" s="252"/>
      <c r="G855" s="252" t="s">
        <v>1620</v>
      </c>
      <c r="H855" s="252"/>
      <c r="I855" s="14" t="s">
        <v>1621</v>
      </c>
      <c r="J855" s="7"/>
      <c r="K855" s="7"/>
      <c r="L855" s="7"/>
      <c r="M855" s="7"/>
      <c r="O855" s="98" t="e">
        <f>Q567</f>
        <v>#REF!</v>
      </c>
    </row>
    <row r="856" spans="2:15" x14ac:dyDescent="0.25">
      <c r="B856" s="11" t="s">
        <v>1622</v>
      </c>
      <c r="C856" s="188"/>
      <c r="D856" s="188"/>
      <c r="E856" s="188"/>
      <c r="F856" s="188"/>
      <c r="G856" s="188"/>
      <c r="H856" s="188"/>
      <c r="I856" s="14" t="s">
        <v>1623</v>
      </c>
      <c r="J856" s="7"/>
      <c r="K856" s="7"/>
      <c r="L856" s="7"/>
      <c r="M856" s="7"/>
    </row>
    <row r="857" spans="2:15" x14ac:dyDescent="0.25">
      <c r="B857" s="1" t="s">
        <v>1149</v>
      </c>
      <c r="C857" s="253" t="s">
        <v>392</v>
      </c>
      <c r="D857" s="253"/>
      <c r="E857" s="253" t="s">
        <v>786</v>
      </c>
      <c r="F857" s="253"/>
      <c r="G857" s="253" t="s">
        <v>789</v>
      </c>
      <c r="H857" s="253"/>
      <c r="I857" s="14" t="s">
        <v>1624</v>
      </c>
      <c r="J857" s="7"/>
      <c r="K857" s="7"/>
      <c r="L857" s="7"/>
      <c r="M857" s="7"/>
      <c r="O857" s="98" t="e">
        <f>SUM(1*#REF!)/175</f>
        <v>#REF!</v>
      </c>
    </row>
    <row r="858" spans="2:15" x14ac:dyDescent="0.25">
      <c r="B858" s="1"/>
      <c r="C858" s="253"/>
      <c r="D858" s="253"/>
      <c r="E858" s="253"/>
      <c r="F858" s="253"/>
      <c r="G858" s="253"/>
      <c r="H858" s="253"/>
      <c r="I858" s="14" t="s">
        <v>1625</v>
      </c>
      <c r="J858" s="7"/>
      <c r="K858" s="7"/>
      <c r="L858" s="7"/>
      <c r="M858" s="7"/>
    </row>
    <row r="859" spans="2:15" x14ac:dyDescent="0.25">
      <c r="B859" s="11" t="s">
        <v>652</v>
      </c>
      <c r="C859" s="252" t="s">
        <v>391</v>
      </c>
      <c r="D859" s="252"/>
      <c r="E859" s="252" t="s">
        <v>392</v>
      </c>
      <c r="F859" s="252"/>
      <c r="G859" s="252" t="s">
        <v>374</v>
      </c>
      <c r="H859" s="252"/>
      <c r="I859" s="14" t="s">
        <v>1626</v>
      </c>
      <c r="J859" s="7"/>
      <c r="K859" s="7"/>
      <c r="L859" s="7"/>
      <c r="M859" s="7"/>
      <c r="O859" s="103" t="e">
        <f>SUM(0.75*#REF!)/175</f>
        <v>#REF!</v>
      </c>
    </row>
    <row r="860" spans="2:15" x14ac:dyDescent="0.25">
      <c r="B860" s="11"/>
      <c r="C860" s="188"/>
      <c r="D860" s="188"/>
      <c r="E860" s="188"/>
      <c r="F860" s="188"/>
      <c r="G860" s="188"/>
      <c r="H860" s="188"/>
      <c r="I860" s="14" t="s">
        <v>1627</v>
      </c>
      <c r="J860" s="7"/>
      <c r="K860" s="7"/>
      <c r="L860" s="7"/>
      <c r="M860" s="7"/>
    </row>
    <row r="861" spans="2:15" x14ac:dyDescent="0.25">
      <c r="B861" s="1" t="s">
        <v>652</v>
      </c>
      <c r="C861" s="253" t="s">
        <v>1628</v>
      </c>
      <c r="D861" s="253"/>
      <c r="E861" s="253" t="s">
        <v>1629</v>
      </c>
      <c r="F861" s="253"/>
      <c r="G861" s="253" t="s">
        <v>1630</v>
      </c>
      <c r="H861" s="253"/>
      <c r="I861" s="14" t="s">
        <v>1631</v>
      </c>
      <c r="J861" s="7"/>
      <c r="K861" s="7"/>
      <c r="L861" s="7"/>
      <c r="M861" s="7"/>
      <c r="O861" s="104" t="e">
        <f>SUM(1.3*#REF!)/175</f>
        <v>#REF!</v>
      </c>
    </row>
    <row r="862" spans="2:15" x14ac:dyDescent="0.25">
      <c r="B862" s="1"/>
      <c r="C862" s="189"/>
      <c r="D862" s="189"/>
      <c r="E862" s="189"/>
      <c r="F862" s="189"/>
      <c r="G862" s="189"/>
      <c r="H862" s="189"/>
      <c r="I862" s="14" t="s">
        <v>1632</v>
      </c>
      <c r="J862" s="7"/>
      <c r="K862" s="7"/>
      <c r="L862" s="7"/>
      <c r="M862" s="7"/>
    </row>
    <row r="863" spans="2:15" x14ac:dyDescent="0.25">
      <c r="B863" s="11" t="s">
        <v>1633</v>
      </c>
      <c r="C863" s="252" t="s">
        <v>1634</v>
      </c>
      <c r="D863" s="252"/>
      <c r="E863" s="252" t="s">
        <v>1635</v>
      </c>
      <c r="F863" s="252"/>
      <c r="G863" s="252" t="s">
        <v>1636</v>
      </c>
      <c r="H863" s="252"/>
      <c r="I863" s="14" t="s">
        <v>1637</v>
      </c>
      <c r="K863" s="7"/>
      <c r="L863" s="7"/>
      <c r="M863" s="7"/>
      <c r="O863" s="98" t="e">
        <f>SUM(0.75*#REF!)/175</f>
        <v>#REF!</v>
      </c>
    </row>
    <row r="864" spans="2:15" x14ac:dyDescent="0.25">
      <c r="B864" s="11"/>
      <c r="C864" s="188"/>
      <c r="D864" s="188"/>
      <c r="E864" s="188"/>
      <c r="F864" s="188"/>
      <c r="G864" s="188"/>
      <c r="H864" s="188"/>
      <c r="I864" s="14" t="s">
        <v>1638</v>
      </c>
      <c r="J864" s="7"/>
      <c r="K864" s="7"/>
      <c r="L864" s="7"/>
      <c r="M864" s="7"/>
    </row>
    <row r="865" spans="2:15" x14ac:dyDescent="0.25">
      <c r="B865" s="1" t="s">
        <v>1639</v>
      </c>
      <c r="C865" s="253" t="s">
        <v>1640</v>
      </c>
      <c r="D865" s="253"/>
      <c r="E865" s="253" t="s">
        <v>390</v>
      </c>
      <c r="F865" s="253"/>
      <c r="G865" s="253" t="s">
        <v>1641</v>
      </c>
      <c r="H865" s="253"/>
      <c r="I865" s="14" t="s">
        <v>1642</v>
      </c>
      <c r="J865" s="14"/>
      <c r="K865" s="7"/>
      <c r="L865" s="7"/>
      <c r="M865" s="7"/>
      <c r="O865" s="103" t="e">
        <f>SUM(0.375*#REF!)/175</f>
        <v>#REF!</v>
      </c>
    </row>
    <row r="866" spans="2:15" x14ac:dyDescent="0.25">
      <c r="B866" s="1"/>
      <c r="C866" s="189"/>
      <c r="D866" s="189"/>
      <c r="E866" s="189"/>
      <c r="F866" s="189"/>
      <c r="G866" s="189"/>
      <c r="H866" s="189"/>
      <c r="I866" s="14" t="s">
        <v>1643</v>
      </c>
      <c r="J866" s="14"/>
      <c r="K866" s="7"/>
      <c r="L866" s="7"/>
      <c r="M866" s="7"/>
    </row>
    <row r="867" spans="2:15" x14ac:dyDescent="0.25">
      <c r="B867" s="11" t="s">
        <v>1644</v>
      </c>
      <c r="C867" s="265" t="s">
        <v>1645</v>
      </c>
      <c r="D867" s="265"/>
      <c r="E867" s="265" t="s">
        <v>516</v>
      </c>
      <c r="F867" s="265"/>
      <c r="G867" s="265" t="s">
        <v>657</v>
      </c>
      <c r="H867" s="265"/>
      <c r="I867" s="14" t="s">
        <v>1646</v>
      </c>
      <c r="K867" s="7"/>
      <c r="L867" s="7"/>
      <c r="M867" s="7"/>
      <c r="O867" s="103" t="e">
        <f>SUM(0.75*#REF!)/175</f>
        <v>#REF!</v>
      </c>
    </row>
    <row r="868" spans="2:15" x14ac:dyDescent="0.25">
      <c r="B868" s="11" t="s">
        <v>1647</v>
      </c>
      <c r="C868" s="188"/>
      <c r="D868" s="188"/>
      <c r="E868" s="188"/>
      <c r="F868" s="188"/>
      <c r="G868" s="188"/>
      <c r="H868" s="188"/>
      <c r="I868" s="14" t="s">
        <v>1648</v>
      </c>
    </row>
    <row r="869" spans="2:15" x14ac:dyDescent="0.25">
      <c r="B869" s="1" t="s">
        <v>1649</v>
      </c>
      <c r="C869" s="253" t="s">
        <v>1650</v>
      </c>
      <c r="D869" s="253"/>
      <c r="E869" s="253" t="s">
        <v>496</v>
      </c>
      <c r="F869" s="253"/>
      <c r="G869" s="253" t="s">
        <v>1651</v>
      </c>
      <c r="H869" s="253"/>
      <c r="I869" s="14" t="s">
        <v>1652</v>
      </c>
      <c r="O869" s="102" t="e">
        <f>SUM(1.5*#REF!)/175</f>
        <v>#REF!</v>
      </c>
    </row>
    <row r="870" spans="2:15" x14ac:dyDescent="0.25">
      <c r="B870" s="1"/>
      <c r="C870" s="253"/>
      <c r="D870" s="253"/>
      <c r="E870" s="253"/>
      <c r="F870" s="253"/>
      <c r="G870" s="253"/>
      <c r="H870" s="253"/>
      <c r="I870" s="14" t="s">
        <v>1653</v>
      </c>
    </row>
    <row r="871" spans="2:15" x14ac:dyDescent="0.25">
      <c r="B871" s="11" t="s">
        <v>518</v>
      </c>
      <c r="C871" s="252" t="s">
        <v>1654</v>
      </c>
      <c r="D871" s="252"/>
      <c r="E871" s="252" t="s">
        <v>1654</v>
      </c>
      <c r="F871" s="252"/>
      <c r="G871" s="252" t="s">
        <v>1654</v>
      </c>
      <c r="H871" s="252"/>
      <c r="I871" s="14" t="s">
        <v>612</v>
      </c>
      <c r="O871" s="104" t="e">
        <f>SUM(1*#REF!)/175</f>
        <v>#REF!</v>
      </c>
    </row>
    <row r="872" spans="2:15" x14ac:dyDescent="0.25">
      <c r="B872" s="11"/>
      <c r="C872" s="188"/>
      <c r="D872" s="188"/>
      <c r="E872" s="188"/>
      <c r="F872" s="188"/>
      <c r="G872" s="188"/>
      <c r="H872" s="188"/>
      <c r="I872" s="14" t="s">
        <v>1655</v>
      </c>
    </row>
    <row r="873" spans="2:15" x14ac:dyDescent="0.25">
      <c r="B873" s="1" t="s">
        <v>1656</v>
      </c>
      <c r="C873" s="253" t="s">
        <v>1657</v>
      </c>
      <c r="D873" s="253"/>
      <c r="E873" s="253" t="s">
        <v>653</v>
      </c>
      <c r="F873" s="253"/>
      <c r="G873" s="253" t="s">
        <v>1658</v>
      </c>
      <c r="H873" s="253"/>
      <c r="I873" s="14" t="s">
        <v>1659</v>
      </c>
      <c r="O873" s="98" t="e">
        <f>SUM(2.875*#REF!)/175</f>
        <v>#REF!</v>
      </c>
    </row>
    <row r="874" spans="2:15" x14ac:dyDescent="0.25">
      <c r="B874" s="1" t="s">
        <v>869</v>
      </c>
      <c r="C874" s="189"/>
      <c r="D874" s="189"/>
      <c r="E874" s="189"/>
      <c r="F874" s="189"/>
      <c r="G874" s="189"/>
      <c r="H874" s="189"/>
      <c r="I874" s="14" t="s">
        <v>1660</v>
      </c>
    </row>
    <row r="875" spans="2:15" x14ac:dyDescent="0.25">
      <c r="B875" s="11" t="s">
        <v>865</v>
      </c>
      <c r="C875" s="252" t="s">
        <v>1661</v>
      </c>
      <c r="D875" s="252"/>
      <c r="E875" s="252" t="s">
        <v>1662</v>
      </c>
      <c r="F875" s="252"/>
      <c r="G875" s="252" t="s">
        <v>966</v>
      </c>
      <c r="H875" s="252"/>
      <c r="I875" s="14" t="s">
        <v>1663</v>
      </c>
      <c r="O875" s="98" t="e">
        <f>SUM(2.5*#REF!)/175</f>
        <v>#REF!</v>
      </c>
    </row>
    <row r="876" spans="2:15" x14ac:dyDescent="0.25">
      <c r="B876" s="11" t="s">
        <v>869</v>
      </c>
      <c r="C876" s="188"/>
      <c r="D876" s="188"/>
      <c r="E876" s="188"/>
      <c r="F876" s="188"/>
      <c r="G876" s="188"/>
      <c r="H876" s="188"/>
      <c r="I876" s="14" t="s">
        <v>1664</v>
      </c>
    </row>
    <row r="877" spans="2:15" x14ac:dyDescent="0.25">
      <c r="B877" s="1" t="s">
        <v>454</v>
      </c>
      <c r="C877" s="253" t="s">
        <v>516</v>
      </c>
      <c r="D877" s="253"/>
      <c r="E877" s="253" t="s">
        <v>1295</v>
      </c>
      <c r="F877" s="253"/>
      <c r="G877" s="253" t="s">
        <v>513</v>
      </c>
      <c r="H877" s="253"/>
      <c r="I877" s="14" t="s">
        <v>1665</v>
      </c>
      <c r="O877" s="103" t="e">
        <f>SUM(1*#REF!)/175</f>
        <v>#REF!</v>
      </c>
    </row>
    <row r="878" spans="2:15" x14ac:dyDescent="0.25">
      <c r="B878" s="1"/>
      <c r="C878" s="189"/>
      <c r="D878" s="189"/>
      <c r="E878" s="189"/>
      <c r="F878" s="189"/>
      <c r="G878" s="189"/>
      <c r="H878" s="189"/>
      <c r="I878" s="14" t="s">
        <v>1666</v>
      </c>
    </row>
    <row r="879" spans="2:15" x14ac:dyDescent="0.25">
      <c r="B879" s="11" t="s">
        <v>1667</v>
      </c>
      <c r="C879" s="252" t="s">
        <v>1668</v>
      </c>
      <c r="D879" s="252"/>
      <c r="E879" s="252" t="s">
        <v>1669</v>
      </c>
      <c r="F879" s="252"/>
      <c r="G879" s="252" t="s">
        <v>1670</v>
      </c>
      <c r="H879" s="252"/>
      <c r="I879" s="14" t="s">
        <v>1671</v>
      </c>
      <c r="O879" s="98" t="e">
        <f>SUM(17.5*#REF!)/175</f>
        <v>#REF!</v>
      </c>
    </row>
    <row r="880" spans="2:15" x14ac:dyDescent="0.25">
      <c r="B880" s="11"/>
      <c r="C880" s="188"/>
      <c r="D880" s="188"/>
      <c r="E880" s="188"/>
      <c r="F880" s="188"/>
      <c r="G880" s="188"/>
      <c r="H880" s="188"/>
      <c r="I880" s="14" t="s">
        <v>1672</v>
      </c>
    </row>
    <row r="881" spans="2:15" x14ac:dyDescent="0.25">
      <c r="B881" s="32" t="s">
        <v>1673</v>
      </c>
      <c r="C881" s="255" t="s">
        <v>373</v>
      </c>
      <c r="D881" s="255"/>
      <c r="E881" s="255" t="s">
        <v>374</v>
      </c>
      <c r="F881" s="255"/>
      <c r="G881" s="255" t="s">
        <v>1674</v>
      </c>
      <c r="H881" s="255"/>
      <c r="I881" s="14"/>
      <c r="O881" s="105" t="e">
        <f>SUM(1.3*#REF!)/175</f>
        <v>#REF!</v>
      </c>
    </row>
    <row r="882" spans="2:15" ht="15.75" thickBot="1" x14ac:dyDescent="0.3">
      <c r="B882" s="32"/>
      <c r="C882" s="191"/>
      <c r="D882" s="191"/>
      <c r="E882" s="191"/>
      <c r="F882" s="191"/>
      <c r="G882" s="191"/>
      <c r="H882" s="191"/>
      <c r="I882" s="14"/>
    </row>
    <row r="883" spans="2:15" x14ac:dyDescent="0.25">
      <c r="B883" s="217" t="s">
        <v>401</v>
      </c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9"/>
      <c r="O883" s="100" t="e">
        <f>SUM(O855:O881)</f>
        <v>#REF!</v>
      </c>
    </row>
    <row r="884" spans="2:15" x14ac:dyDescent="0.25">
      <c r="B884" s="3" t="s">
        <v>402</v>
      </c>
      <c r="C884" s="232" t="s">
        <v>403</v>
      </c>
      <c r="D884" s="232"/>
      <c r="E884" s="232" t="s">
        <v>467</v>
      </c>
      <c r="F884" s="232"/>
      <c r="G884" s="232" t="s">
        <v>405</v>
      </c>
      <c r="H884" s="232"/>
      <c r="I884" s="232" t="s">
        <v>406</v>
      </c>
      <c r="J884" s="232"/>
      <c r="K884" s="234" t="s">
        <v>468</v>
      </c>
      <c r="L884" s="235"/>
      <c r="M884" s="236"/>
    </row>
    <row r="885" spans="2:15" ht="15.75" thickBot="1" x14ac:dyDescent="0.3">
      <c r="B885" s="5">
        <v>2.4</v>
      </c>
      <c r="C885" s="237">
        <v>1.5</v>
      </c>
      <c r="D885" s="238"/>
      <c r="E885" s="239"/>
      <c r="F885" s="238"/>
      <c r="G885" s="240"/>
      <c r="H885" s="240"/>
      <c r="I885" s="241"/>
      <c r="J885" s="241"/>
      <c r="K885" s="242"/>
      <c r="L885" s="243"/>
      <c r="M885" s="244"/>
    </row>
    <row r="886" spans="2:15" x14ac:dyDescent="0.25">
      <c r="B886" s="1"/>
      <c r="C886" s="1"/>
      <c r="D886" s="1"/>
      <c r="E886" s="1"/>
      <c r="F886" s="1"/>
      <c r="G886" s="1"/>
      <c r="H886" s="1"/>
    </row>
    <row r="887" spans="2:15" x14ac:dyDescent="0.25">
      <c r="B887" s="217" t="s">
        <v>408</v>
      </c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9"/>
    </row>
    <row r="888" spans="2:15" x14ac:dyDescent="0.25">
      <c r="B888" s="122" t="s">
        <v>1675</v>
      </c>
      <c r="C888" s="220" t="s">
        <v>1676</v>
      </c>
      <c r="D888" s="220"/>
      <c r="E888" s="221" t="s">
        <v>1677</v>
      </c>
      <c r="F888" s="221"/>
      <c r="G888" s="221" t="s">
        <v>1678</v>
      </c>
      <c r="H888" s="221"/>
      <c r="I888" s="220" t="s">
        <v>1679</v>
      </c>
      <c r="J888" s="220"/>
      <c r="K888" s="220" t="s">
        <v>1680</v>
      </c>
      <c r="L888" s="220"/>
      <c r="M888" s="222"/>
    </row>
    <row r="889" spans="2:15" x14ac:dyDescent="0.25">
      <c r="B889" s="123" t="s">
        <v>1681</v>
      </c>
      <c r="C889" s="225" t="s">
        <v>916</v>
      </c>
      <c r="D889" s="226"/>
      <c r="E889" s="227" t="s">
        <v>1682</v>
      </c>
      <c r="F889" s="227"/>
      <c r="G889" s="223" t="s">
        <v>1683</v>
      </c>
      <c r="H889" s="223"/>
      <c r="I889" s="227" t="s">
        <v>1684</v>
      </c>
      <c r="J889" s="227"/>
      <c r="K889" s="223" t="s">
        <v>1685</v>
      </c>
      <c r="L889" s="223"/>
      <c r="M889" s="224"/>
    </row>
    <row r="890" spans="2:15" x14ac:dyDescent="0.25">
      <c r="B890" s="123" t="s">
        <v>1686</v>
      </c>
      <c r="C890" s="286" t="s">
        <v>1687</v>
      </c>
      <c r="D890" s="287"/>
      <c r="E890" s="227" t="s">
        <v>1688</v>
      </c>
      <c r="F890" s="227"/>
      <c r="G890" s="223" t="s">
        <v>1484</v>
      </c>
      <c r="H890" s="223"/>
      <c r="I890" s="223" t="s">
        <v>1689</v>
      </c>
      <c r="J890" s="223"/>
      <c r="K890" s="223" t="s">
        <v>426</v>
      </c>
      <c r="L890" s="223"/>
      <c r="M890" s="224"/>
    </row>
    <row r="892" spans="2:15" ht="23.25" x14ac:dyDescent="0.35">
      <c r="B892" s="29" t="s">
        <v>334</v>
      </c>
      <c r="C892" s="229" t="s">
        <v>20</v>
      </c>
      <c r="D892" s="229"/>
      <c r="E892" s="229"/>
      <c r="F892" s="229"/>
      <c r="G892" s="229"/>
      <c r="H892" s="229"/>
      <c r="I892" s="229"/>
      <c r="J892" s="229"/>
      <c r="O892" s="101" t="s">
        <v>481</v>
      </c>
    </row>
    <row r="893" spans="2:15" ht="18.75" x14ac:dyDescent="0.3">
      <c r="B893" s="12" t="s">
        <v>335</v>
      </c>
      <c r="C893" s="195" t="s">
        <v>336</v>
      </c>
      <c r="D893" s="228" t="s">
        <v>427</v>
      </c>
      <c r="E893" s="228"/>
      <c r="F893" s="1" t="s">
        <v>1690</v>
      </c>
      <c r="L893" s="12" t="s">
        <v>339</v>
      </c>
      <c r="M893" s="6" t="s">
        <v>19</v>
      </c>
    </row>
    <row r="895" spans="2:15" x14ac:dyDescent="0.25">
      <c r="B895" s="2" t="s">
        <v>341</v>
      </c>
      <c r="C895" s="250" t="s">
        <v>342</v>
      </c>
      <c r="D895" s="250"/>
      <c r="E895" s="250" t="s">
        <v>1691</v>
      </c>
      <c r="F895" s="250"/>
      <c r="G895" s="250" t="s">
        <v>344</v>
      </c>
      <c r="H895" s="250"/>
      <c r="I895" s="228" t="s">
        <v>345</v>
      </c>
      <c r="J895" s="228"/>
      <c r="K895" s="228"/>
      <c r="L895" s="228"/>
      <c r="M895" s="228"/>
      <c r="O895" s="101" t="s">
        <v>1262</v>
      </c>
    </row>
    <row r="896" spans="2:15" x14ac:dyDescent="0.25">
      <c r="C896" s="251"/>
      <c r="D896" s="251"/>
      <c r="E896" s="251"/>
      <c r="F896" s="251"/>
      <c r="G896" s="251"/>
      <c r="H896" s="251"/>
      <c r="I896" s="7"/>
      <c r="J896" s="7"/>
      <c r="K896" s="7"/>
      <c r="L896" s="7"/>
      <c r="M896" s="7"/>
    </row>
    <row r="897" spans="2:15" x14ac:dyDescent="0.25">
      <c r="B897" s="11" t="s">
        <v>1692</v>
      </c>
      <c r="C897" s="252" t="s">
        <v>1693</v>
      </c>
      <c r="D897" s="252"/>
      <c r="E897" s="252" t="s">
        <v>1694</v>
      </c>
      <c r="F897" s="252"/>
      <c r="G897" s="252" t="s">
        <v>1695</v>
      </c>
      <c r="H897" s="252"/>
      <c r="I897" s="14" t="s">
        <v>1696</v>
      </c>
      <c r="J897" s="14"/>
      <c r="K897" s="7"/>
      <c r="L897" s="7"/>
      <c r="M897" s="7"/>
      <c r="O897" s="98" t="e">
        <f>SUM(31.5*#REF!)/175</f>
        <v>#REF!</v>
      </c>
    </row>
    <row r="898" spans="2:15" x14ac:dyDescent="0.25">
      <c r="B898" s="11"/>
      <c r="C898" s="188"/>
      <c r="D898" s="188"/>
      <c r="E898" s="188"/>
      <c r="F898" s="188"/>
      <c r="G898" s="188"/>
      <c r="H898" s="188"/>
      <c r="I898" s="14" t="s">
        <v>1697</v>
      </c>
      <c r="J898" s="14"/>
      <c r="K898" s="7"/>
      <c r="L898" s="7"/>
      <c r="M898" s="7"/>
    </row>
    <row r="899" spans="2:15" x14ac:dyDescent="0.25">
      <c r="B899" s="1" t="s">
        <v>518</v>
      </c>
      <c r="C899" s="253" t="s">
        <v>486</v>
      </c>
      <c r="D899" s="253"/>
      <c r="E899" s="253" t="s">
        <v>880</v>
      </c>
      <c r="F899" s="253"/>
      <c r="G899" s="253" t="s">
        <v>744</v>
      </c>
      <c r="H899" s="253"/>
      <c r="I899" s="15" t="s">
        <v>1698</v>
      </c>
      <c r="J899" s="14"/>
      <c r="K899" s="7"/>
      <c r="L899" s="7"/>
      <c r="M899" s="7"/>
      <c r="O899" s="103" t="e">
        <f>SUM(1*#REF!)/175</f>
        <v>#REF!</v>
      </c>
    </row>
    <row r="900" spans="2:15" x14ac:dyDescent="0.25">
      <c r="B900" s="1"/>
      <c r="C900" s="253"/>
      <c r="D900" s="253"/>
      <c r="E900" s="253"/>
      <c r="F900" s="253"/>
      <c r="G900" s="253"/>
      <c r="H900" s="253"/>
      <c r="I900" s="14" t="s">
        <v>1699</v>
      </c>
      <c r="J900" s="14"/>
      <c r="K900" s="7"/>
      <c r="L900" s="7"/>
      <c r="M900" s="7"/>
    </row>
    <row r="901" spans="2:15" x14ac:dyDescent="0.25">
      <c r="B901" s="11" t="s">
        <v>1700</v>
      </c>
      <c r="C901" s="252" t="s">
        <v>508</v>
      </c>
      <c r="D901" s="252"/>
      <c r="E901" s="252" t="s">
        <v>1701</v>
      </c>
      <c r="F901" s="252"/>
      <c r="G901" s="252" t="s">
        <v>390</v>
      </c>
      <c r="H901" s="252"/>
      <c r="I901" s="14" t="s">
        <v>1702</v>
      </c>
      <c r="J901" s="14"/>
      <c r="K901" s="7"/>
      <c r="L901" s="7"/>
      <c r="M901" s="7"/>
      <c r="O901" s="103" t="e">
        <f>SUM(0.25*#REF!)/175</f>
        <v>#REF!</v>
      </c>
    </row>
    <row r="902" spans="2:15" x14ac:dyDescent="0.25">
      <c r="B902" s="11"/>
      <c r="C902" s="188"/>
      <c r="D902" s="188"/>
      <c r="E902" s="188"/>
      <c r="F902" s="188"/>
      <c r="G902" s="188"/>
      <c r="H902" s="188"/>
      <c r="I902" s="14" t="s">
        <v>1703</v>
      </c>
      <c r="J902" s="14"/>
      <c r="K902" s="7"/>
      <c r="L902" s="7"/>
      <c r="M902" s="7"/>
    </row>
    <row r="903" spans="2:15" x14ac:dyDescent="0.25">
      <c r="B903" s="1" t="s">
        <v>1704</v>
      </c>
      <c r="C903" s="253" t="s">
        <v>508</v>
      </c>
      <c r="D903" s="253"/>
      <c r="E903" s="253" t="s">
        <v>1701</v>
      </c>
      <c r="F903" s="253"/>
      <c r="G903" s="253" t="s">
        <v>390</v>
      </c>
      <c r="H903" s="253"/>
      <c r="I903" s="15" t="s">
        <v>1705</v>
      </c>
      <c r="J903" s="14" t="s">
        <v>1706</v>
      </c>
      <c r="K903" s="7"/>
      <c r="L903" s="7"/>
      <c r="M903" s="7"/>
      <c r="O903" s="98">
        <v>0</v>
      </c>
    </row>
    <row r="904" spans="2:15" x14ac:dyDescent="0.25">
      <c r="B904" s="1"/>
      <c r="C904" s="189"/>
      <c r="D904" s="189"/>
      <c r="E904" s="189"/>
      <c r="F904" s="189"/>
      <c r="G904" s="189"/>
      <c r="H904" s="189"/>
      <c r="I904" s="14"/>
      <c r="J904" s="14" t="s">
        <v>1707</v>
      </c>
      <c r="K904" s="7"/>
      <c r="L904" s="7"/>
      <c r="M904" s="7"/>
      <c r="O904" s="98"/>
    </row>
    <row r="905" spans="2:15" x14ac:dyDescent="0.25">
      <c r="B905" s="11" t="s">
        <v>848</v>
      </c>
      <c r="C905" s="252" t="s">
        <v>789</v>
      </c>
      <c r="D905" s="252"/>
      <c r="E905" s="252" t="s">
        <v>383</v>
      </c>
      <c r="F905" s="252"/>
      <c r="G905" s="252" t="s">
        <v>1708</v>
      </c>
      <c r="H905" s="252"/>
      <c r="I905" s="14"/>
      <c r="J905" s="14" t="s">
        <v>1709</v>
      </c>
      <c r="K905" s="7"/>
      <c r="L905" s="7"/>
      <c r="M905" s="7"/>
      <c r="O905" s="98" t="e">
        <f>SUM(2*#REF!)/175</f>
        <v>#REF!</v>
      </c>
    </row>
    <row r="906" spans="2:15" x14ac:dyDescent="0.25">
      <c r="B906" s="11"/>
      <c r="C906" s="188"/>
      <c r="D906" s="188"/>
      <c r="E906" s="188"/>
      <c r="F906" s="188"/>
      <c r="G906" s="188"/>
      <c r="H906" s="188"/>
      <c r="I906" s="14"/>
      <c r="J906" s="7"/>
      <c r="K906" s="7"/>
      <c r="L906" s="7"/>
      <c r="M906" s="7"/>
      <c r="O906" s="98"/>
    </row>
    <row r="907" spans="2:15" x14ac:dyDescent="0.25">
      <c r="B907" s="1" t="s">
        <v>1710</v>
      </c>
      <c r="C907" s="253" t="s">
        <v>1234</v>
      </c>
      <c r="D907" s="253"/>
      <c r="E907" s="253" t="s">
        <v>1209</v>
      </c>
      <c r="F907" s="253"/>
      <c r="G907" s="253" t="s">
        <v>1711</v>
      </c>
      <c r="H907" s="253"/>
      <c r="I907" s="14"/>
      <c r="J907" s="14"/>
      <c r="K907" s="7"/>
      <c r="L907" s="7"/>
      <c r="M907" s="7"/>
      <c r="O907" s="98" t="e">
        <f>SUM(5.25*#REF!)/175</f>
        <v>#REF!</v>
      </c>
    </row>
    <row r="908" spans="2:15" x14ac:dyDescent="0.25">
      <c r="B908" s="1"/>
      <c r="C908" s="189"/>
      <c r="D908" s="189"/>
      <c r="E908" s="189"/>
      <c r="F908" s="189"/>
      <c r="G908" s="189"/>
      <c r="H908" s="189"/>
      <c r="I908" s="14"/>
      <c r="J908" s="14"/>
      <c r="K908" s="7"/>
      <c r="L908" s="7"/>
      <c r="M908" s="7"/>
      <c r="O908" s="98"/>
    </row>
    <row r="909" spans="2:15" x14ac:dyDescent="0.25">
      <c r="B909" s="11" t="s">
        <v>879</v>
      </c>
      <c r="C909" s="265" t="s">
        <v>1712</v>
      </c>
      <c r="D909" s="265"/>
      <c r="E909" s="265" t="s">
        <v>882</v>
      </c>
      <c r="F909" s="265"/>
      <c r="G909" s="265" t="s">
        <v>1131</v>
      </c>
      <c r="H909" s="265"/>
      <c r="I909" s="14"/>
      <c r="K909" s="7"/>
      <c r="L909" s="7"/>
      <c r="M909" s="7"/>
      <c r="O909" s="102" t="e">
        <f>SUM(2.625*#REF!)/175</f>
        <v>#REF!</v>
      </c>
    </row>
    <row r="910" spans="2:15" x14ac:dyDescent="0.25">
      <c r="B910" s="11"/>
      <c r="C910" s="188"/>
      <c r="D910" s="188"/>
      <c r="E910" s="188"/>
      <c r="F910" s="188"/>
      <c r="G910" s="188"/>
      <c r="H910" s="188"/>
      <c r="I910" s="14"/>
      <c r="O910" s="98"/>
    </row>
    <row r="911" spans="2:15" x14ac:dyDescent="0.25">
      <c r="B911" s="1" t="s">
        <v>515</v>
      </c>
      <c r="C911" s="253" t="s">
        <v>508</v>
      </c>
      <c r="D911" s="253"/>
      <c r="E911" s="253" t="s">
        <v>1701</v>
      </c>
      <c r="F911" s="253"/>
      <c r="G911" s="253" t="s">
        <v>390</v>
      </c>
      <c r="H911" s="253"/>
      <c r="I911" s="14"/>
      <c r="O911" s="102" t="e">
        <f>SUM(0.25*#REF!)/175</f>
        <v>#REF!</v>
      </c>
    </row>
    <row r="912" spans="2:15" x14ac:dyDescent="0.25">
      <c r="B912" s="1"/>
      <c r="C912" s="253"/>
      <c r="D912" s="253"/>
      <c r="E912" s="253"/>
      <c r="F912" s="253"/>
      <c r="G912" s="253"/>
      <c r="H912" s="253"/>
      <c r="I912" s="14"/>
      <c r="O912" s="98"/>
    </row>
    <row r="913" spans="2:15" x14ac:dyDescent="0.25">
      <c r="B913" s="11" t="s">
        <v>1713</v>
      </c>
      <c r="C913" s="265" t="s">
        <v>1712</v>
      </c>
      <c r="D913" s="265"/>
      <c r="E913" s="265" t="s">
        <v>882</v>
      </c>
      <c r="F913" s="265"/>
      <c r="G913" s="265" t="s">
        <v>1131</v>
      </c>
      <c r="H913" s="265"/>
      <c r="I913" s="14"/>
      <c r="O913" s="103" t="e">
        <f>SUM(2.625*#REF!)/175</f>
        <v>#REF!</v>
      </c>
    </row>
    <row r="914" spans="2:15" x14ac:dyDescent="0.25">
      <c r="B914" s="11"/>
      <c r="C914" s="188"/>
      <c r="D914" s="188"/>
      <c r="E914" s="188"/>
      <c r="F914" s="188"/>
      <c r="G914" s="188"/>
      <c r="H914" s="188"/>
      <c r="I914" s="14"/>
      <c r="O914" s="98"/>
    </row>
    <row r="915" spans="2:15" x14ac:dyDescent="0.25">
      <c r="B915" s="1" t="s">
        <v>1714</v>
      </c>
      <c r="C915" s="253" t="s">
        <v>508</v>
      </c>
      <c r="D915" s="253"/>
      <c r="E915" s="253" t="s">
        <v>1701</v>
      </c>
      <c r="F915" s="253"/>
      <c r="G915" s="253" t="s">
        <v>390</v>
      </c>
      <c r="H915" s="253"/>
      <c r="I915" s="14"/>
      <c r="O915" s="102" t="e">
        <f>SUM(0.25*#REF!)/175</f>
        <v>#REF!</v>
      </c>
    </row>
    <row r="916" spans="2:15" x14ac:dyDescent="0.25">
      <c r="B916" s="1"/>
      <c r="C916" s="189"/>
      <c r="D916" s="189"/>
      <c r="E916" s="189"/>
      <c r="F916" s="189"/>
      <c r="G916" s="189"/>
      <c r="H916" s="189"/>
      <c r="I916" s="14"/>
      <c r="O916" s="98"/>
    </row>
    <row r="917" spans="2:15" x14ac:dyDescent="0.25">
      <c r="B917" s="11" t="s">
        <v>1035</v>
      </c>
      <c r="C917" s="252" t="s">
        <v>1209</v>
      </c>
      <c r="D917" s="252"/>
      <c r="E917" s="252" t="s">
        <v>1031</v>
      </c>
      <c r="F917" s="252"/>
      <c r="G917" s="252" t="s">
        <v>1715</v>
      </c>
      <c r="H917" s="252"/>
      <c r="I917" s="14"/>
      <c r="O917" s="103" t="e">
        <f>SUM(7*#REF!)/175</f>
        <v>#REF!</v>
      </c>
    </row>
    <row r="918" spans="2:15" x14ac:dyDescent="0.25">
      <c r="B918" s="11"/>
      <c r="C918" s="188"/>
      <c r="D918" s="188"/>
      <c r="E918" s="188"/>
      <c r="F918" s="188"/>
      <c r="G918" s="188"/>
      <c r="H918" s="188"/>
      <c r="I918" s="14"/>
      <c r="O918" s="98"/>
    </row>
    <row r="919" spans="2:15" x14ac:dyDescent="0.25">
      <c r="B919" s="1" t="s">
        <v>889</v>
      </c>
      <c r="C919" s="253" t="s">
        <v>1716</v>
      </c>
      <c r="D919" s="253"/>
      <c r="E919" s="253" t="s">
        <v>1717</v>
      </c>
      <c r="F919" s="253"/>
      <c r="G919" s="253" t="s">
        <v>1718</v>
      </c>
      <c r="H919" s="253"/>
      <c r="I919" s="14"/>
      <c r="O919" s="102" t="e">
        <f>SUM(2.625*#REF!)/175</f>
        <v>#REF!</v>
      </c>
    </row>
    <row r="920" spans="2:15" x14ac:dyDescent="0.25">
      <c r="B920" s="1"/>
      <c r="C920" s="189"/>
      <c r="D920" s="189"/>
      <c r="E920" s="189"/>
      <c r="F920" s="189"/>
      <c r="G920" s="189"/>
      <c r="H920" s="189"/>
      <c r="I920" s="14"/>
      <c r="O920" s="98"/>
    </row>
    <row r="921" spans="2:15" x14ac:dyDescent="0.25">
      <c r="B921" s="11" t="s">
        <v>1719</v>
      </c>
      <c r="C921" s="252" t="s">
        <v>373</v>
      </c>
      <c r="D921" s="252"/>
      <c r="E921" s="252" t="s">
        <v>382</v>
      </c>
      <c r="F921" s="252"/>
      <c r="G921" s="252" t="s">
        <v>375</v>
      </c>
      <c r="H921" s="252"/>
      <c r="I921" s="14"/>
      <c r="O921" s="102" t="e">
        <f>SUM(1.3*#REF!)/175</f>
        <v>#REF!</v>
      </c>
    </row>
    <row r="922" spans="2:15" x14ac:dyDescent="0.25">
      <c r="B922" s="11"/>
      <c r="C922" s="188"/>
      <c r="D922" s="188"/>
      <c r="E922" s="188"/>
      <c r="F922" s="188"/>
      <c r="G922" s="188"/>
      <c r="H922" s="188"/>
      <c r="I922" s="14"/>
      <c r="O922" s="98"/>
    </row>
    <row r="923" spans="2:15" x14ac:dyDescent="0.25">
      <c r="B923" s="1" t="s">
        <v>1030</v>
      </c>
      <c r="C923" s="253" t="s">
        <v>1720</v>
      </c>
      <c r="D923" s="253"/>
      <c r="E923" s="253" t="s">
        <v>1194</v>
      </c>
      <c r="F923" s="253"/>
      <c r="G923" s="253" t="s">
        <v>1109</v>
      </c>
      <c r="H923" s="253"/>
      <c r="I923" s="14"/>
      <c r="O923" s="98" t="e">
        <f>SUM(2.125*#REF!)/175</f>
        <v>#REF!</v>
      </c>
    </row>
    <row r="924" spans="2:15" x14ac:dyDescent="0.25">
      <c r="B924" s="1"/>
      <c r="C924" s="189"/>
      <c r="D924" s="189"/>
      <c r="E924" s="189"/>
      <c r="F924" s="189"/>
      <c r="G924" s="189"/>
      <c r="H924" s="189"/>
      <c r="I924" s="14"/>
      <c r="O924" s="98"/>
    </row>
    <row r="925" spans="2:15" x14ac:dyDescent="0.25">
      <c r="B925" s="11" t="s">
        <v>1041</v>
      </c>
      <c r="C925" s="252" t="s">
        <v>789</v>
      </c>
      <c r="D925" s="252"/>
      <c r="E925" s="252" t="s">
        <v>383</v>
      </c>
      <c r="F925" s="252"/>
      <c r="G925" s="252" t="s">
        <v>1708</v>
      </c>
      <c r="H925" s="252"/>
      <c r="I925" s="14"/>
      <c r="O925" s="98" t="e">
        <f>SUM(2*#REF!)/175</f>
        <v>#REF!</v>
      </c>
    </row>
    <row r="926" spans="2:15" x14ac:dyDescent="0.25">
      <c r="B926" s="11"/>
      <c r="C926" s="188"/>
      <c r="D926" s="188"/>
      <c r="E926" s="188"/>
      <c r="F926" s="188"/>
      <c r="G926" s="188"/>
      <c r="H926" s="188"/>
      <c r="O926" s="98"/>
    </row>
    <row r="927" spans="2:15" x14ac:dyDescent="0.25">
      <c r="B927" s="1" t="s">
        <v>1721</v>
      </c>
      <c r="C927" s="253" t="s">
        <v>508</v>
      </c>
      <c r="D927" s="253"/>
      <c r="E927" s="253" t="s">
        <v>1701</v>
      </c>
      <c r="F927" s="253"/>
      <c r="G927" s="253" t="s">
        <v>390</v>
      </c>
      <c r="H927" s="253"/>
      <c r="O927" s="98"/>
    </row>
    <row r="928" spans="2:15" x14ac:dyDescent="0.25">
      <c r="B928" s="1"/>
      <c r="C928" s="189"/>
      <c r="D928" s="189"/>
      <c r="E928" s="189"/>
      <c r="F928" s="189"/>
      <c r="G928" s="189"/>
      <c r="H928" s="189"/>
      <c r="O928" s="98"/>
    </row>
    <row r="929" spans="2:15" x14ac:dyDescent="0.25">
      <c r="B929" s="11" t="s">
        <v>1051</v>
      </c>
      <c r="C929" s="265" t="s">
        <v>1712</v>
      </c>
      <c r="D929" s="265"/>
      <c r="E929" s="265" t="s">
        <v>882</v>
      </c>
      <c r="F929" s="265"/>
      <c r="G929" s="265" t="s">
        <v>1131</v>
      </c>
      <c r="H929" s="265"/>
      <c r="O929" s="102" t="e">
        <f>SUM(2.625*#REF!)/175</f>
        <v>#REF!</v>
      </c>
    </row>
    <row r="930" spans="2:15" x14ac:dyDescent="0.25">
      <c r="B930" s="11"/>
      <c r="C930" s="188"/>
      <c r="D930" s="188"/>
      <c r="E930" s="188"/>
      <c r="F930" s="188"/>
      <c r="G930" s="188"/>
      <c r="H930" s="188"/>
      <c r="O930" s="98"/>
    </row>
    <row r="931" spans="2:15" x14ac:dyDescent="0.25">
      <c r="B931" s="32" t="s">
        <v>1722</v>
      </c>
      <c r="C931" s="255" t="s">
        <v>1645</v>
      </c>
      <c r="D931" s="255"/>
      <c r="E931" s="255" t="s">
        <v>516</v>
      </c>
      <c r="F931" s="255"/>
      <c r="G931" s="255" t="s">
        <v>1295</v>
      </c>
      <c r="H931" s="255"/>
      <c r="O931" s="103" t="e">
        <f>SUM(0.75*#REF!)/175</f>
        <v>#REF!</v>
      </c>
    </row>
    <row r="932" spans="2:15" x14ac:dyDescent="0.25">
      <c r="B932" s="32"/>
      <c r="C932" s="31"/>
      <c r="D932" s="191"/>
      <c r="E932" s="31"/>
      <c r="F932" s="191"/>
      <c r="G932" s="31"/>
      <c r="H932" s="191"/>
      <c r="O932" s="98"/>
    </row>
    <row r="933" spans="2:15" x14ac:dyDescent="0.25">
      <c r="B933" s="11" t="s">
        <v>1470</v>
      </c>
      <c r="C933" s="252" t="s">
        <v>1645</v>
      </c>
      <c r="D933" s="252"/>
      <c r="E933" s="252" t="s">
        <v>516</v>
      </c>
      <c r="F933" s="252"/>
      <c r="G933" s="252" t="s">
        <v>1295</v>
      </c>
      <c r="H933" s="252"/>
      <c r="O933" s="103" t="e">
        <f>SUM(0.75*#REF!)/175</f>
        <v>#REF!</v>
      </c>
    </row>
    <row r="934" spans="2:15" x14ac:dyDescent="0.25">
      <c r="B934" s="11"/>
      <c r="C934" s="188"/>
      <c r="D934" s="188"/>
      <c r="E934" s="188"/>
      <c r="F934" s="188"/>
      <c r="G934" s="188"/>
      <c r="H934" s="188"/>
      <c r="O934" s="98"/>
    </row>
    <row r="935" spans="2:15" x14ac:dyDescent="0.25">
      <c r="B935" s="32" t="s">
        <v>1723</v>
      </c>
      <c r="C935" s="255" t="s">
        <v>508</v>
      </c>
      <c r="D935" s="255"/>
      <c r="E935" s="255" t="s">
        <v>678</v>
      </c>
      <c r="F935" s="255"/>
      <c r="G935" s="255" t="s">
        <v>1640</v>
      </c>
      <c r="H935" s="255"/>
      <c r="O935" s="140" t="e">
        <f>SUM(0.25*#REF!)/175</f>
        <v>#REF!</v>
      </c>
    </row>
    <row r="936" spans="2:15" x14ac:dyDescent="0.25">
      <c r="B936" s="32"/>
      <c r="C936" s="191"/>
      <c r="D936" s="191"/>
      <c r="E936" s="191"/>
      <c r="F936" s="191"/>
      <c r="G936" s="191"/>
      <c r="H936" s="191"/>
      <c r="O936" s="105"/>
    </row>
    <row r="937" spans="2:15" x14ac:dyDescent="0.25">
      <c r="B937" s="13" t="s">
        <v>1724</v>
      </c>
      <c r="C937" s="252" t="s">
        <v>545</v>
      </c>
      <c r="D937" s="252"/>
      <c r="E937" s="252" t="s">
        <v>1725</v>
      </c>
      <c r="F937" s="252"/>
      <c r="G937" s="252" t="s">
        <v>1055</v>
      </c>
      <c r="H937" s="252"/>
      <c r="O937" s="105" t="e">
        <f>#REF!</f>
        <v>#REF!</v>
      </c>
    </row>
    <row r="938" spans="2:15" ht="15.75" customHeight="1" x14ac:dyDescent="0.25">
      <c r="B938" s="11"/>
      <c r="C938" s="188"/>
      <c r="D938" s="188"/>
      <c r="E938" s="188"/>
      <c r="F938" s="188"/>
      <c r="G938" s="188"/>
      <c r="H938" s="188"/>
      <c r="O938" s="98"/>
    </row>
    <row r="939" spans="2:15" x14ac:dyDescent="0.25">
      <c r="B939" s="217" t="s">
        <v>401</v>
      </c>
      <c r="C939" s="218"/>
      <c r="D939" s="218"/>
      <c r="E939" s="218"/>
      <c r="F939" s="218"/>
      <c r="G939" s="218"/>
      <c r="H939" s="218"/>
      <c r="I939" s="218"/>
      <c r="J939" s="218"/>
      <c r="K939" s="218"/>
      <c r="L939" s="218"/>
      <c r="M939" s="219"/>
      <c r="O939" s="139" t="e">
        <f>SUM(O897:O937)</f>
        <v>#REF!</v>
      </c>
    </row>
    <row r="940" spans="2:15" x14ac:dyDescent="0.25">
      <c r="B940" s="3" t="s">
        <v>402</v>
      </c>
      <c r="C940" s="232" t="s">
        <v>403</v>
      </c>
      <c r="D940" s="232"/>
      <c r="E940" s="233" t="s">
        <v>404</v>
      </c>
      <c r="F940" s="233"/>
      <c r="G940" s="232" t="s">
        <v>405</v>
      </c>
      <c r="H940" s="232"/>
      <c r="I940" s="232" t="s">
        <v>406</v>
      </c>
      <c r="J940" s="232"/>
      <c r="K940" s="234" t="s">
        <v>407</v>
      </c>
      <c r="L940" s="235"/>
      <c r="M940" s="236"/>
      <c r="O940" s="98"/>
    </row>
    <row r="941" spans="2:15" ht="15.75" thickBot="1" x14ac:dyDescent="0.3">
      <c r="B941" s="5">
        <v>2.88</v>
      </c>
      <c r="C941" s="237">
        <v>2</v>
      </c>
      <c r="D941" s="238"/>
      <c r="E941" s="239">
        <v>4.2779999999999999E-2</v>
      </c>
      <c r="F941" s="238"/>
      <c r="G941" s="240"/>
      <c r="H941" s="240"/>
      <c r="I941" s="241"/>
      <c r="J941" s="241"/>
      <c r="K941" s="242">
        <v>3.8999999999999998E-3</v>
      </c>
      <c r="L941" s="243"/>
      <c r="M941" s="244"/>
    </row>
    <row r="942" spans="2:15" x14ac:dyDescent="0.25">
      <c r="B942" s="1"/>
      <c r="C942" s="1"/>
      <c r="D942" s="1"/>
      <c r="E942" s="1"/>
      <c r="F942" s="1"/>
      <c r="G942" s="1"/>
      <c r="H942" s="1"/>
    </row>
    <row r="943" spans="2:15" x14ac:dyDescent="0.25">
      <c r="B943" s="217" t="s">
        <v>408</v>
      </c>
      <c r="C943" s="218"/>
      <c r="D943" s="218"/>
      <c r="E943" s="218"/>
      <c r="F943" s="218"/>
      <c r="G943" s="218"/>
      <c r="H943" s="218"/>
      <c r="I943" s="218"/>
      <c r="J943" s="218"/>
      <c r="K943" s="218"/>
      <c r="L943" s="218"/>
      <c r="M943" s="219"/>
    </row>
    <row r="944" spans="2:15" x14ac:dyDescent="0.25">
      <c r="B944" s="122" t="s">
        <v>1726</v>
      </c>
      <c r="C944" s="220" t="s">
        <v>1727</v>
      </c>
      <c r="D944" s="220"/>
      <c r="E944" s="221" t="s">
        <v>1728</v>
      </c>
      <c r="F944" s="221"/>
      <c r="G944" s="221" t="s">
        <v>1729</v>
      </c>
      <c r="H944" s="221"/>
      <c r="I944" s="220" t="s">
        <v>1730</v>
      </c>
      <c r="J944" s="220"/>
      <c r="K944" s="220" t="s">
        <v>1731</v>
      </c>
      <c r="L944" s="220"/>
      <c r="M944" s="222"/>
    </row>
    <row r="945" spans="2:13" x14ac:dyDescent="0.25">
      <c r="B945" s="124" t="s">
        <v>1732</v>
      </c>
      <c r="C945" s="245" t="s">
        <v>1733</v>
      </c>
      <c r="D945" s="246"/>
      <c r="E945" s="247" t="s">
        <v>1734</v>
      </c>
      <c r="F945" s="247"/>
      <c r="G945" s="247" t="s">
        <v>1735</v>
      </c>
      <c r="H945" s="247"/>
      <c r="I945" s="248" t="s">
        <v>937</v>
      </c>
      <c r="J945" s="248"/>
      <c r="K945" s="247" t="s">
        <v>1736</v>
      </c>
      <c r="L945" s="247"/>
      <c r="M945" s="249"/>
    </row>
    <row r="946" spans="2:13" x14ac:dyDescent="0.25">
      <c r="B946" s="168" t="s">
        <v>1737</v>
      </c>
      <c r="C946" s="257" t="s">
        <v>422</v>
      </c>
      <c r="D946" s="258"/>
      <c r="E946" s="259" t="s">
        <v>1738</v>
      </c>
      <c r="F946" s="259"/>
      <c r="G946" s="260" t="s">
        <v>1739</v>
      </c>
      <c r="H946" s="260"/>
      <c r="I946" s="260" t="s">
        <v>1740</v>
      </c>
      <c r="J946" s="260"/>
      <c r="K946" s="260" t="s">
        <v>1741</v>
      </c>
      <c r="L946" s="260"/>
      <c r="M946" s="261"/>
    </row>
    <row r="948" spans="2:13" ht="23.25" x14ac:dyDescent="0.35">
      <c r="B948" s="29" t="s">
        <v>334</v>
      </c>
      <c r="C948" s="229" t="s">
        <v>5</v>
      </c>
      <c r="D948" s="229"/>
      <c r="E948" s="229"/>
      <c r="F948" s="229"/>
      <c r="G948" s="229"/>
      <c r="H948" s="229"/>
      <c r="I948" s="229"/>
      <c r="J948" s="229"/>
    </row>
    <row r="949" spans="2:13" ht="18.75" x14ac:dyDescent="0.3">
      <c r="B949" s="12" t="s">
        <v>335</v>
      </c>
      <c r="C949" s="195" t="s">
        <v>336</v>
      </c>
      <c r="D949" s="228" t="s">
        <v>427</v>
      </c>
      <c r="E949" s="228"/>
      <c r="F949" s="1" t="s">
        <v>1373</v>
      </c>
      <c r="L949" s="12" t="s">
        <v>339</v>
      </c>
      <c r="M949" s="6" t="s">
        <v>4</v>
      </c>
    </row>
    <row r="951" spans="2:13" x14ac:dyDescent="0.25">
      <c r="B951" s="2" t="s">
        <v>341</v>
      </c>
      <c r="C951" s="250" t="s">
        <v>1742</v>
      </c>
      <c r="D951" s="250"/>
      <c r="E951" s="250" t="s">
        <v>342</v>
      </c>
      <c r="F951" s="250"/>
      <c r="G951" s="250" t="s">
        <v>343</v>
      </c>
      <c r="H951" s="250"/>
      <c r="I951" s="228" t="s">
        <v>345</v>
      </c>
      <c r="J951" s="228"/>
      <c r="K951" s="228"/>
      <c r="L951" s="228"/>
      <c r="M951" s="228"/>
    </row>
    <row r="952" spans="2:13" x14ac:dyDescent="0.25">
      <c r="C952" s="251"/>
      <c r="D952" s="251"/>
      <c r="E952" s="251"/>
      <c r="F952" s="251"/>
      <c r="G952" s="251"/>
      <c r="H952" s="251"/>
      <c r="I952" s="7"/>
      <c r="J952" s="7"/>
      <c r="K952" s="7"/>
      <c r="L952" s="7"/>
      <c r="M952" s="7"/>
    </row>
    <row r="953" spans="2:13" x14ac:dyDescent="0.25">
      <c r="B953" s="11" t="s">
        <v>1743</v>
      </c>
      <c r="C953" s="252" t="s">
        <v>1577</v>
      </c>
      <c r="D953" s="252"/>
      <c r="E953" s="252" t="s">
        <v>1744</v>
      </c>
      <c r="F953" s="252"/>
      <c r="G953" s="252" t="s">
        <v>597</v>
      </c>
      <c r="H953" s="252"/>
      <c r="I953" s="14" t="s">
        <v>1015</v>
      </c>
      <c r="J953" s="14"/>
      <c r="K953" s="7"/>
      <c r="L953" s="7"/>
      <c r="M953" s="7"/>
    </row>
    <row r="954" spans="2:13" x14ac:dyDescent="0.25">
      <c r="B954" s="11" t="s">
        <v>1745</v>
      </c>
      <c r="C954" s="188"/>
      <c r="D954" s="188"/>
      <c r="E954" s="188"/>
      <c r="F954" s="188"/>
      <c r="G954" s="188"/>
      <c r="H954" s="188"/>
      <c r="I954" s="14" t="s">
        <v>1746</v>
      </c>
      <c r="J954" s="14"/>
      <c r="K954" s="7"/>
      <c r="L954" s="7"/>
      <c r="M954" s="7"/>
    </row>
    <row r="955" spans="2:13" x14ac:dyDescent="0.25">
      <c r="B955" s="1" t="s">
        <v>1747</v>
      </c>
      <c r="C955" s="253" t="s">
        <v>390</v>
      </c>
      <c r="D955" s="253"/>
      <c r="E955" s="253" t="s">
        <v>1748</v>
      </c>
      <c r="F955" s="253"/>
      <c r="G955" s="253" t="s">
        <v>374</v>
      </c>
      <c r="H955" s="253"/>
      <c r="I955" s="14" t="s">
        <v>1749</v>
      </c>
      <c r="J955" s="14"/>
      <c r="K955" s="7"/>
      <c r="L955" s="7"/>
      <c r="M955" s="7"/>
    </row>
    <row r="956" spans="2:13" x14ac:dyDescent="0.25">
      <c r="B956" s="1"/>
      <c r="C956" s="253"/>
      <c r="D956" s="253"/>
      <c r="E956" s="253"/>
      <c r="F956" s="253"/>
      <c r="G956" s="253"/>
      <c r="H956" s="253"/>
      <c r="I956" s="14" t="s">
        <v>1750</v>
      </c>
      <c r="J956" s="14"/>
      <c r="K956" s="7"/>
      <c r="L956" s="7"/>
      <c r="M956" s="7"/>
    </row>
    <row r="957" spans="2:13" x14ac:dyDescent="0.25">
      <c r="B957" s="11" t="s">
        <v>965</v>
      </c>
      <c r="C957" s="252" t="s">
        <v>966</v>
      </c>
      <c r="D957" s="252"/>
      <c r="E957" s="252" t="s">
        <v>1751</v>
      </c>
      <c r="F957" s="252"/>
      <c r="G957" s="252" t="s">
        <v>1752</v>
      </c>
      <c r="H957" s="252"/>
      <c r="I957" s="14" t="s">
        <v>1753</v>
      </c>
      <c r="J957" s="14"/>
      <c r="K957" s="7"/>
      <c r="L957" s="7"/>
      <c r="M957" s="7"/>
    </row>
    <row r="958" spans="2:13" x14ac:dyDescent="0.25">
      <c r="B958" s="11"/>
      <c r="C958" s="188"/>
      <c r="D958" s="188"/>
      <c r="E958" s="188"/>
      <c r="F958" s="188"/>
      <c r="G958" s="188"/>
      <c r="H958" s="188"/>
      <c r="I958" s="14" t="s">
        <v>1754</v>
      </c>
      <c r="J958" s="14"/>
      <c r="K958" s="7"/>
      <c r="L958" s="7"/>
      <c r="M958" s="7"/>
    </row>
    <row r="959" spans="2:13" x14ac:dyDescent="0.25">
      <c r="B959" s="1" t="s">
        <v>1755</v>
      </c>
      <c r="C959" s="253" t="s">
        <v>1497</v>
      </c>
      <c r="D959" s="253"/>
      <c r="E959" s="253" t="s">
        <v>1756</v>
      </c>
      <c r="F959" s="253"/>
      <c r="G959" s="253" t="s">
        <v>603</v>
      </c>
      <c r="H959" s="253"/>
      <c r="I959" s="15"/>
      <c r="J959" s="14"/>
      <c r="K959" s="7"/>
      <c r="L959" s="7"/>
      <c r="M959" s="7"/>
    </row>
    <row r="960" spans="2:13" x14ac:dyDescent="0.25">
      <c r="B960" s="1"/>
      <c r="C960" s="189"/>
      <c r="D960" s="189"/>
      <c r="E960" s="189"/>
      <c r="F960" s="189"/>
      <c r="G960" s="189"/>
      <c r="H960" s="189"/>
      <c r="I960" s="14"/>
      <c r="J960" s="14"/>
      <c r="K960" s="7"/>
      <c r="L960" s="7"/>
      <c r="M960" s="7"/>
    </row>
    <row r="961" spans="2:13" x14ac:dyDescent="0.25">
      <c r="B961" s="11" t="s">
        <v>1757</v>
      </c>
      <c r="C961" s="252" t="s">
        <v>789</v>
      </c>
      <c r="D961" s="252"/>
      <c r="E961" s="252" t="s">
        <v>400</v>
      </c>
      <c r="F961" s="252"/>
      <c r="G961" s="252" t="s">
        <v>602</v>
      </c>
      <c r="H961" s="252"/>
      <c r="I961" s="14"/>
      <c r="J961" s="14"/>
      <c r="K961" s="7"/>
      <c r="L961" s="7"/>
      <c r="M961" s="7"/>
    </row>
    <row r="962" spans="2:13" x14ac:dyDescent="0.25">
      <c r="B962" s="11"/>
      <c r="C962" s="188"/>
      <c r="D962" s="188"/>
      <c r="E962" s="188"/>
      <c r="F962" s="188"/>
      <c r="G962" s="188"/>
      <c r="H962" s="188"/>
      <c r="I962" s="14"/>
      <c r="J962" s="7"/>
      <c r="K962" s="7"/>
      <c r="L962" s="7"/>
      <c r="M962" s="7"/>
    </row>
    <row r="963" spans="2:13" x14ac:dyDescent="0.25">
      <c r="B963" s="1" t="s">
        <v>1758</v>
      </c>
      <c r="C963" s="253" t="s">
        <v>1759</v>
      </c>
      <c r="D963" s="253"/>
      <c r="E963" s="253" t="s">
        <v>1760</v>
      </c>
      <c r="F963" s="253"/>
      <c r="G963" s="253" t="s">
        <v>1761</v>
      </c>
      <c r="H963" s="253"/>
      <c r="I963" s="14"/>
      <c r="J963" s="14"/>
      <c r="K963" s="7"/>
      <c r="L963" s="7"/>
      <c r="M963" s="7"/>
    </row>
    <row r="964" spans="2:13" x14ac:dyDescent="0.25">
      <c r="B964" s="1"/>
      <c r="C964" s="189"/>
      <c r="D964" s="189"/>
      <c r="E964" s="189"/>
      <c r="F964" s="189"/>
      <c r="G964" s="189"/>
      <c r="H964" s="189"/>
      <c r="I964" s="14"/>
      <c r="J964" s="14"/>
      <c r="K964" s="7"/>
      <c r="L964" s="7"/>
      <c r="M964" s="7"/>
    </row>
    <row r="965" spans="2:13" x14ac:dyDescent="0.25">
      <c r="B965" s="11" t="s">
        <v>1762</v>
      </c>
      <c r="C965" s="265" t="s">
        <v>1763</v>
      </c>
      <c r="D965" s="265"/>
      <c r="E965" s="265" t="s">
        <v>545</v>
      </c>
      <c r="F965" s="265"/>
      <c r="G965" s="265" t="s">
        <v>984</v>
      </c>
      <c r="H965" s="265"/>
      <c r="I965" s="14"/>
      <c r="K965" s="7"/>
      <c r="L965" s="7"/>
      <c r="M965" s="7"/>
    </row>
    <row r="966" spans="2:13" x14ac:dyDescent="0.25">
      <c r="B966" s="11"/>
      <c r="C966" s="194"/>
      <c r="D966" s="194"/>
      <c r="E966" s="194"/>
      <c r="F966" s="194"/>
      <c r="G966" s="194"/>
      <c r="H966" s="194"/>
      <c r="I966" s="14"/>
      <c r="K966" s="7"/>
      <c r="L966" s="7"/>
      <c r="M966" s="7"/>
    </row>
    <row r="967" spans="2:13" x14ac:dyDescent="0.25">
      <c r="B967" s="32" t="s">
        <v>1764</v>
      </c>
      <c r="C967" s="264" t="s">
        <v>1765</v>
      </c>
      <c r="D967" s="264"/>
      <c r="E967" s="264" t="s">
        <v>1634</v>
      </c>
      <c r="F967" s="264"/>
      <c r="G967" s="264" t="s">
        <v>1635</v>
      </c>
      <c r="H967" s="264"/>
      <c r="I967" s="14"/>
      <c r="K967" s="7"/>
      <c r="L967" s="7"/>
      <c r="M967" s="7"/>
    </row>
    <row r="968" spans="2:13" x14ac:dyDescent="0.25">
      <c r="B968" s="32"/>
      <c r="C968" s="193"/>
      <c r="D968" s="193"/>
      <c r="E968" s="193"/>
      <c r="F968" s="193"/>
      <c r="G968" s="193"/>
      <c r="H968" s="193"/>
      <c r="I968" s="14"/>
      <c r="K968" s="7"/>
      <c r="L968" s="7"/>
      <c r="M968" s="7"/>
    </row>
    <row r="969" spans="2:13" x14ac:dyDescent="0.25">
      <c r="B969" s="217" t="s">
        <v>401</v>
      </c>
      <c r="C969" s="218"/>
      <c r="D969" s="218"/>
      <c r="E969" s="218"/>
      <c r="F969" s="218"/>
      <c r="G969" s="218"/>
      <c r="H969" s="218"/>
      <c r="I969" s="218"/>
      <c r="J969" s="218"/>
      <c r="K969" s="218"/>
      <c r="L969" s="218"/>
      <c r="M969" s="219"/>
    </row>
    <row r="970" spans="2:13" x14ac:dyDescent="0.25">
      <c r="B970" s="3" t="s">
        <v>402</v>
      </c>
      <c r="C970" s="232" t="s">
        <v>403</v>
      </c>
      <c r="D970" s="232"/>
      <c r="E970" s="232" t="s">
        <v>1766</v>
      </c>
      <c r="F970" s="232"/>
      <c r="G970" s="232" t="s">
        <v>405</v>
      </c>
      <c r="H970" s="232"/>
      <c r="I970" s="232" t="s">
        <v>406</v>
      </c>
      <c r="J970" s="232"/>
      <c r="K970" s="234" t="s">
        <v>468</v>
      </c>
      <c r="L970" s="235"/>
      <c r="M970" s="236"/>
    </row>
    <row r="971" spans="2:13" ht="15.75" thickBot="1" x14ac:dyDescent="0.3">
      <c r="B971" s="5">
        <v>2</v>
      </c>
      <c r="C971" s="237">
        <v>2.54</v>
      </c>
      <c r="D971" s="238"/>
      <c r="E971" s="239">
        <v>0.8</v>
      </c>
      <c r="F971" s="238"/>
      <c r="G971" s="240"/>
      <c r="H971" s="240"/>
      <c r="I971" s="241"/>
      <c r="J971" s="241"/>
      <c r="K971" s="242"/>
      <c r="L971" s="243"/>
      <c r="M971" s="244"/>
    </row>
    <row r="972" spans="2:13" x14ac:dyDescent="0.25">
      <c r="B972" s="1"/>
      <c r="C972" s="1"/>
      <c r="D972" s="1"/>
      <c r="E972" s="1"/>
      <c r="F972" s="1"/>
      <c r="G972" s="1"/>
      <c r="H972" s="1"/>
    </row>
    <row r="973" spans="2:13" x14ac:dyDescent="0.25">
      <c r="B973" s="217" t="s">
        <v>408</v>
      </c>
      <c r="C973" s="218"/>
      <c r="D973" s="218"/>
      <c r="E973" s="218"/>
      <c r="F973" s="218"/>
      <c r="G973" s="218"/>
      <c r="H973" s="218"/>
      <c r="I973" s="218"/>
      <c r="J973" s="218"/>
      <c r="K973" s="218"/>
      <c r="L973" s="218"/>
      <c r="M973" s="219"/>
    </row>
    <row r="974" spans="2:13" x14ac:dyDescent="0.25">
      <c r="B974" s="122" t="s">
        <v>1767</v>
      </c>
      <c r="C974" s="220" t="s">
        <v>1768</v>
      </c>
      <c r="D974" s="220"/>
      <c r="E974" s="221" t="s">
        <v>1769</v>
      </c>
      <c r="F974" s="221"/>
      <c r="G974" s="221" t="s">
        <v>1770</v>
      </c>
      <c r="H974" s="221"/>
      <c r="I974" s="220" t="s">
        <v>1771</v>
      </c>
      <c r="J974" s="220"/>
      <c r="K974" s="220" t="s">
        <v>1772</v>
      </c>
      <c r="L974" s="220"/>
      <c r="M974" s="222"/>
    </row>
    <row r="975" spans="2:13" x14ac:dyDescent="0.25">
      <c r="B975" s="124" t="s">
        <v>1773</v>
      </c>
      <c r="C975" s="245" t="s">
        <v>1774</v>
      </c>
      <c r="D975" s="246"/>
      <c r="E975" s="247" t="s">
        <v>1775</v>
      </c>
      <c r="F975" s="247"/>
      <c r="G975" s="247" t="s">
        <v>1776</v>
      </c>
      <c r="H975" s="247"/>
      <c r="I975" s="248" t="s">
        <v>1777</v>
      </c>
      <c r="J975" s="248"/>
      <c r="K975" s="247" t="s">
        <v>1778</v>
      </c>
      <c r="L975" s="247"/>
      <c r="M975" s="249"/>
    </row>
    <row r="976" spans="2:13" ht="15.75" customHeight="1" x14ac:dyDescent="0.25">
      <c r="B976" s="168" t="s">
        <v>1779</v>
      </c>
      <c r="C976" s="257" t="s">
        <v>1780</v>
      </c>
      <c r="D976" s="258"/>
      <c r="E976" s="259" t="s">
        <v>1781</v>
      </c>
      <c r="F976" s="259"/>
      <c r="G976" s="260" t="s">
        <v>1484</v>
      </c>
      <c r="H976" s="260"/>
      <c r="I976" s="260" t="s">
        <v>1782</v>
      </c>
      <c r="J976" s="260"/>
      <c r="K976" s="260" t="s">
        <v>1783</v>
      </c>
      <c r="L976" s="260"/>
      <c r="M976" s="261"/>
    </row>
    <row r="978" spans="2:13" ht="23.25" x14ac:dyDescent="0.35">
      <c r="B978" s="29" t="s">
        <v>334</v>
      </c>
      <c r="C978" s="229" t="s">
        <v>25</v>
      </c>
      <c r="D978" s="229"/>
      <c r="E978" s="229"/>
      <c r="F978" s="229"/>
      <c r="G978" s="229"/>
      <c r="H978" s="229"/>
      <c r="I978" s="229"/>
      <c r="J978" s="229"/>
    </row>
    <row r="979" spans="2:13" ht="18.75" x14ac:dyDescent="0.3">
      <c r="B979" s="12" t="s">
        <v>335</v>
      </c>
      <c r="C979" s="195" t="s">
        <v>336</v>
      </c>
      <c r="D979" s="228" t="s">
        <v>427</v>
      </c>
      <c r="E979" s="228"/>
      <c r="F979" s="1" t="s">
        <v>1784</v>
      </c>
      <c r="L979" s="12" t="s">
        <v>339</v>
      </c>
      <c r="M979" s="6" t="s">
        <v>24</v>
      </c>
    </row>
    <row r="981" spans="2:13" x14ac:dyDescent="0.25">
      <c r="B981" s="2" t="s">
        <v>341</v>
      </c>
      <c r="C981" s="250" t="s">
        <v>342</v>
      </c>
      <c r="D981" s="250"/>
      <c r="E981" s="250" t="s">
        <v>343</v>
      </c>
      <c r="F981" s="250"/>
      <c r="G981" s="250" t="s">
        <v>954</v>
      </c>
      <c r="H981" s="250"/>
      <c r="I981" s="228" t="s">
        <v>345</v>
      </c>
      <c r="J981" s="228"/>
      <c r="K981" s="228"/>
      <c r="L981" s="228"/>
      <c r="M981" s="228"/>
    </row>
    <row r="982" spans="2:13" x14ac:dyDescent="0.25">
      <c r="C982" s="251"/>
      <c r="D982" s="251"/>
      <c r="E982" s="251"/>
      <c r="F982" s="251"/>
      <c r="G982" s="251"/>
      <c r="H982" s="251"/>
      <c r="I982" s="7"/>
      <c r="J982" s="7"/>
      <c r="K982" s="7"/>
      <c r="L982" s="7"/>
      <c r="M982" s="7"/>
    </row>
    <row r="983" spans="2:13" x14ac:dyDescent="0.25">
      <c r="B983" s="11" t="s">
        <v>1743</v>
      </c>
      <c r="C983" s="252" t="s">
        <v>1785</v>
      </c>
      <c r="D983" s="252"/>
      <c r="E983" s="252" t="s">
        <v>1786</v>
      </c>
      <c r="F983" s="252"/>
      <c r="G983" s="252" t="s">
        <v>1787</v>
      </c>
      <c r="H983" s="252"/>
      <c r="I983" s="14" t="s">
        <v>1015</v>
      </c>
      <c r="J983" s="14"/>
      <c r="K983" s="7"/>
      <c r="L983" s="7"/>
      <c r="M983" s="7"/>
    </row>
    <row r="984" spans="2:13" x14ac:dyDescent="0.25">
      <c r="B984" s="11" t="s">
        <v>1745</v>
      </c>
      <c r="C984" s="188"/>
      <c r="D984" s="188"/>
      <c r="E984" s="188"/>
      <c r="F984" s="188"/>
      <c r="G984" s="188"/>
      <c r="H984" s="188"/>
      <c r="I984" s="14" t="s">
        <v>1788</v>
      </c>
      <c r="J984" s="14"/>
      <c r="K984" s="7"/>
      <c r="L984" s="7"/>
      <c r="M984" s="7"/>
    </row>
    <row r="985" spans="2:13" x14ac:dyDescent="0.25">
      <c r="B985" s="1" t="s">
        <v>1789</v>
      </c>
      <c r="C985" s="253" t="s">
        <v>1790</v>
      </c>
      <c r="D985" s="253"/>
      <c r="E985" s="253" t="s">
        <v>1791</v>
      </c>
      <c r="F985" s="253"/>
      <c r="G985" s="253" t="s">
        <v>1792</v>
      </c>
      <c r="H985" s="253"/>
      <c r="I985" s="14" t="s">
        <v>1793</v>
      </c>
      <c r="J985" s="14"/>
      <c r="K985" s="7"/>
      <c r="L985" s="7"/>
      <c r="M985" s="7"/>
    </row>
    <row r="986" spans="2:13" x14ac:dyDescent="0.25">
      <c r="B986" s="1" t="s">
        <v>1794</v>
      </c>
      <c r="C986" s="253" t="s">
        <v>1790</v>
      </c>
      <c r="D986" s="253"/>
      <c r="E986" s="253" t="s">
        <v>1791</v>
      </c>
      <c r="F986" s="253"/>
      <c r="G986" s="253" t="s">
        <v>1792</v>
      </c>
      <c r="H986" s="253"/>
      <c r="I986" s="14" t="s">
        <v>1795</v>
      </c>
      <c r="J986" s="14"/>
      <c r="K986" s="7"/>
      <c r="L986" s="7"/>
      <c r="M986" s="7"/>
    </row>
    <row r="987" spans="2:13" x14ac:dyDescent="0.25">
      <c r="B987" s="11" t="s">
        <v>1796</v>
      </c>
      <c r="C987" s="252" t="s">
        <v>1797</v>
      </c>
      <c r="D987" s="252"/>
      <c r="E987" s="252" t="s">
        <v>1798</v>
      </c>
      <c r="F987" s="252"/>
      <c r="G987" s="252" t="s">
        <v>1799</v>
      </c>
      <c r="H987" s="252"/>
      <c r="I987" s="14" t="s">
        <v>1800</v>
      </c>
      <c r="J987" s="14"/>
      <c r="K987" s="7"/>
      <c r="L987" s="7"/>
      <c r="M987" s="7"/>
    </row>
    <row r="988" spans="2:13" x14ac:dyDescent="0.25">
      <c r="B988" s="11" t="s">
        <v>1801</v>
      </c>
      <c r="C988" s="252" t="s">
        <v>1802</v>
      </c>
      <c r="D988" s="252"/>
      <c r="E988" s="252" t="s">
        <v>1208</v>
      </c>
      <c r="F988" s="252"/>
      <c r="G988" s="252" t="s">
        <v>463</v>
      </c>
      <c r="H988" s="252"/>
      <c r="I988" s="14" t="s">
        <v>1803</v>
      </c>
      <c r="J988" s="14"/>
      <c r="K988" s="7"/>
      <c r="L988" s="7"/>
      <c r="M988" s="7"/>
    </row>
    <row r="989" spans="2:13" x14ac:dyDescent="0.25">
      <c r="B989" s="1" t="s">
        <v>889</v>
      </c>
      <c r="C989" s="253" t="s">
        <v>1701</v>
      </c>
      <c r="D989" s="253"/>
      <c r="E989" s="253" t="s">
        <v>390</v>
      </c>
      <c r="F989" s="253"/>
      <c r="G989" s="253" t="s">
        <v>1326</v>
      </c>
      <c r="H989" s="253"/>
      <c r="I989" s="14" t="s">
        <v>1804</v>
      </c>
      <c r="J989" s="14"/>
      <c r="K989" s="7"/>
      <c r="L989" s="7"/>
      <c r="M989" s="7"/>
    </row>
    <row r="990" spans="2:13" x14ac:dyDescent="0.25">
      <c r="B990" s="1"/>
      <c r="C990" s="189"/>
      <c r="D990" s="189"/>
      <c r="E990" s="189"/>
      <c r="F990" s="189"/>
      <c r="G990" s="189"/>
      <c r="H990" s="189"/>
      <c r="I990" s="14" t="s">
        <v>1805</v>
      </c>
      <c r="J990" s="14"/>
      <c r="K990" s="7"/>
      <c r="L990" s="7"/>
      <c r="M990" s="7"/>
    </row>
    <row r="991" spans="2:13" x14ac:dyDescent="0.25">
      <c r="B991" s="11" t="s">
        <v>1046</v>
      </c>
      <c r="C991" s="252" t="s">
        <v>890</v>
      </c>
      <c r="D991" s="252"/>
      <c r="E991" s="252" t="s">
        <v>744</v>
      </c>
      <c r="F991" s="252"/>
      <c r="G991" s="252" t="s">
        <v>661</v>
      </c>
      <c r="H991" s="252"/>
      <c r="I991" s="14" t="s">
        <v>1806</v>
      </c>
      <c r="J991" s="14"/>
      <c r="K991" s="7"/>
      <c r="L991" s="7"/>
      <c r="M991" s="7"/>
    </row>
    <row r="992" spans="2:13" x14ac:dyDescent="0.25">
      <c r="B992" s="11"/>
      <c r="C992" s="188"/>
      <c r="D992" s="188"/>
      <c r="E992" s="188"/>
      <c r="F992" s="188"/>
      <c r="G992" s="188"/>
      <c r="H992" s="188"/>
      <c r="I992" s="14" t="s">
        <v>1807</v>
      </c>
      <c r="J992" s="14"/>
      <c r="K992" s="7"/>
      <c r="L992" s="7"/>
      <c r="M992" s="7"/>
    </row>
    <row r="993" spans="2:13" x14ac:dyDescent="0.25">
      <c r="B993" s="1" t="s">
        <v>1207</v>
      </c>
      <c r="C993" s="253" t="s">
        <v>1808</v>
      </c>
      <c r="D993" s="253"/>
      <c r="E993" s="253" t="s">
        <v>1386</v>
      </c>
      <c r="F993" s="253"/>
      <c r="G993" s="253" t="s">
        <v>1809</v>
      </c>
      <c r="H993" s="253"/>
      <c r="I993" s="14" t="s">
        <v>1810</v>
      </c>
      <c r="J993" s="14"/>
      <c r="K993" s="7"/>
      <c r="L993" s="7"/>
      <c r="M993" s="7"/>
    </row>
    <row r="994" spans="2:13" x14ac:dyDescent="0.25">
      <c r="B994" s="1"/>
      <c r="C994" s="189"/>
      <c r="D994" s="189"/>
      <c r="E994" s="189"/>
      <c r="F994" s="189"/>
      <c r="G994" s="189"/>
      <c r="H994" s="189"/>
      <c r="I994" s="14" t="s">
        <v>1811</v>
      </c>
      <c r="J994" s="14"/>
      <c r="K994" s="7"/>
      <c r="L994" s="7"/>
      <c r="M994" s="7"/>
    </row>
    <row r="995" spans="2:13" x14ac:dyDescent="0.25">
      <c r="B995" s="11" t="s">
        <v>1812</v>
      </c>
      <c r="C995" s="265" t="s">
        <v>1813</v>
      </c>
      <c r="D995" s="265"/>
      <c r="E995" s="265" t="s">
        <v>1814</v>
      </c>
      <c r="F995" s="265"/>
      <c r="G995" s="265" t="s">
        <v>1376</v>
      </c>
      <c r="H995" s="265"/>
      <c r="I995" s="14" t="s">
        <v>1815</v>
      </c>
      <c r="J995" s="14"/>
      <c r="K995" s="7"/>
      <c r="L995" s="7"/>
      <c r="M995" s="7"/>
    </row>
    <row r="996" spans="2:13" x14ac:dyDescent="0.25">
      <c r="B996" s="11" t="s">
        <v>1816</v>
      </c>
      <c r="C996" s="188"/>
      <c r="D996" s="188"/>
      <c r="E996" s="188"/>
      <c r="F996" s="188"/>
      <c r="G996" s="188"/>
      <c r="H996" s="188"/>
      <c r="I996" s="14" t="s">
        <v>1817</v>
      </c>
      <c r="J996" s="14"/>
    </row>
    <row r="997" spans="2:13" x14ac:dyDescent="0.25">
      <c r="B997" s="1" t="s">
        <v>397</v>
      </c>
      <c r="C997" s="253" t="s">
        <v>1212</v>
      </c>
      <c r="D997" s="253"/>
      <c r="E997" s="253" t="s">
        <v>1818</v>
      </c>
      <c r="F997" s="253"/>
      <c r="G997" s="253" t="s">
        <v>1819</v>
      </c>
      <c r="H997" s="253"/>
      <c r="I997" s="14" t="s">
        <v>1820</v>
      </c>
      <c r="J997" s="14"/>
    </row>
    <row r="998" spans="2:13" x14ac:dyDescent="0.25">
      <c r="B998" s="1"/>
      <c r="C998" s="253"/>
      <c r="D998" s="253"/>
      <c r="E998" s="253"/>
      <c r="F998" s="253"/>
      <c r="G998" s="253"/>
      <c r="H998" s="253"/>
      <c r="I998" s="14" t="s">
        <v>1821</v>
      </c>
      <c r="J998" s="14"/>
    </row>
    <row r="999" spans="2:13" x14ac:dyDescent="0.25">
      <c r="B999" s="11" t="s">
        <v>454</v>
      </c>
      <c r="C999" s="252" t="s">
        <v>1822</v>
      </c>
      <c r="D999" s="252"/>
      <c r="E999" s="252" t="s">
        <v>1823</v>
      </c>
      <c r="F999" s="252"/>
      <c r="G999" s="252" t="s">
        <v>395</v>
      </c>
      <c r="H999" s="252"/>
      <c r="I999" s="14" t="s">
        <v>1824</v>
      </c>
      <c r="J999" s="14"/>
    </row>
    <row r="1000" spans="2:13" x14ac:dyDescent="0.25">
      <c r="B1000" s="11"/>
      <c r="C1000" s="188"/>
      <c r="D1000" s="188"/>
      <c r="E1000" s="188"/>
      <c r="F1000" s="188"/>
      <c r="G1000" s="188"/>
      <c r="H1000" s="188"/>
      <c r="I1000" s="14" t="s">
        <v>1825</v>
      </c>
      <c r="J1000" s="14"/>
    </row>
    <row r="1001" spans="2:13" x14ac:dyDescent="0.25">
      <c r="B1001" s="1" t="s">
        <v>457</v>
      </c>
      <c r="C1001" s="253" t="s">
        <v>1217</v>
      </c>
      <c r="D1001" s="253"/>
      <c r="E1001" s="253" t="s">
        <v>391</v>
      </c>
      <c r="F1001" s="253"/>
      <c r="G1001" s="253" t="s">
        <v>392</v>
      </c>
      <c r="H1001" s="253"/>
      <c r="I1001" s="14" t="s">
        <v>1826</v>
      </c>
      <c r="J1001" s="14"/>
    </row>
    <row r="1002" spans="2:13" x14ac:dyDescent="0.25">
      <c r="B1002" s="1"/>
      <c r="C1002" s="189"/>
      <c r="D1002" s="189"/>
      <c r="E1002" s="189"/>
      <c r="F1002" s="189"/>
      <c r="G1002" s="189"/>
      <c r="H1002" s="189"/>
      <c r="I1002" s="14" t="s">
        <v>1827</v>
      </c>
      <c r="J1002" s="14"/>
    </row>
    <row r="1003" spans="2:13" x14ac:dyDescent="0.25">
      <c r="B1003" s="11" t="s">
        <v>515</v>
      </c>
      <c r="C1003" s="252" t="s">
        <v>1130</v>
      </c>
      <c r="D1003" s="252"/>
      <c r="E1003" s="252" t="s">
        <v>1131</v>
      </c>
      <c r="F1003" s="252"/>
      <c r="G1003" s="252" t="s">
        <v>1026</v>
      </c>
      <c r="H1003" s="252"/>
      <c r="I1003" s="14" t="s">
        <v>1828</v>
      </c>
      <c r="J1003" s="14"/>
    </row>
    <row r="1004" spans="2:13" x14ac:dyDescent="0.25">
      <c r="B1004" s="11"/>
      <c r="C1004" s="188"/>
      <c r="D1004" s="188"/>
      <c r="E1004" s="188"/>
      <c r="F1004" s="188"/>
      <c r="G1004" s="188"/>
      <c r="H1004" s="188"/>
      <c r="I1004" s="14" t="s">
        <v>1829</v>
      </c>
      <c r="J1004" s="14"/>
    </row>
    <row r="1005" spans="2:13" x14ac:dyDescent="0.25">
      <c r="B1005" s="1" t="s">
        <v>1224</v>
      </c>
      <c r="C1005" s="253" t="s">
        <v>1130</v>
      </c>
      <c r="D1005" s="253"/>
      <c r="E1005" s="253" t="s">
        <v>1131</v>
      </c>
      <c r="F1005" s="253"/>
      <c r="G1005" s="253" t="s">
        <v>1026</v>
      </c>
      <c r="H1005" s="253"/>
      <c r="I1005" s="15" t="s">
        <v>1830</v>
      </c>
      <c r="J1005" s="14" t="s">
        <v>1831</v>
      </c>
    </row>
    <row r="1006" spans="2:13" x14ac:dyDescent="0.25">
      <c r="B1006" s="1"/>
      <c r="C1006" s="189"/>
      <c r="D1006" s="189"/>
      <c r="E1006" s="189"/>
      <c r="F1006" s="189"/>
      <c r="G1006" s="189"/>
      <c r="H1006" s="189"/>
      <c r="I1006" s="14"/>
      <c r="J1006" s="14" t="s">
        <v>1832</v>
      </c>
    </row>
    <row r="1007" spans="2:13" x14ac:dyDescent="0.25">
      <c r="B1007" s="11" t="s">
        <v>652</v>
      </c>
      <c r="C1007" s="252" t="s">
        <v>1833</v>
      </c>
      <c r="D1007" s="252"/>
      <c r="E1007" s="252" t="s">
        <v>1834</v>
      </c>
      <c r="F1007" s="252"/>
      <c r="G1007" s="252" t="s">
        <v>1835</v>
      </c>
      <c r="H1007" s="252"/>
      <c r="I1007" s="14" t="s">
        <v>1836</v>
      </c>
      <c r="J1007" s="14"/>
    </row>
    <row r="1008" spans="2:13" x14ac:dyDescent="0.25">
      <c r="B1008" s="11"/>
      <c r="C1008" s="188"/>
      <c r="D1008" s="188"/>
      <c r="E1008" s="188"/>
      <c r="F1008" s="188"/>
      <c r="G1008" s="188"/>
      <c r="H1008" s="188"/>
      <c r="I1008" s="14" t="s">
        <v>1837</v>
      </c>
      <c r="J1008" s="14"/>
    </row>
    <row r="1009" spans="2:10" x14ac:dyDescent="0.25">
      <c r="B1009" s="1" t="s">
        <v>682</v>
      </c>
      <c r="C1009" s="253" t="s">
        <v>1833</v>
      </c>
      <c r="D1009" s="253"/>
      <c r="E1009" s="253" t="s">
        <v>1834</v>
      </c>
      <c r="F1009" s="253"/>
      <c r="G1009" s="253" t="s">
        <v>1835</v>
      </c>
      <c r="H1009" s="253"/>
      <c r="I1009" s="14" t="s">
        <v>1829</v>
      </c>
      <c r="J1009" s="14"/>
    </row>
    <row r="1010" spans="2:10" x14ac:dyDescent="0.25">
      <c r="B1010" s="1"/>
      <c r="C1010" s="189"/>
      <c r="D1010" s="189"/>
      <c r="E1010" s="189"/>
      <c r="F1010" s="189"/>
      <c r="G1010" s="189"/>
      <c r="H1010" s="189"/>
      <c r="I1010" s="14" t="s">
        <v>612</v>
      </c>
      <c r="J1010" s="14"/>
    </row>
    <row r="1011" spans="2:10" x14ac:dyDescent="0.25">
      <c r="B1011" s="11" t="s">
        <v>660</v>
      </c>
      <c r="C1011" s="252" t="s">
        <v>382</v>
      </c>
      <c r="D1011" s="252"/>
      <c r="E1011" s="252" t="s">
        <v>375</v>
      </c>
      <c r="F1011" s="252"/>
      <c r="G1011" s="252" t="s">
        <v>383</v>
      </c>
      <c r="H1011" s="252"/>
      <c r="I1011" s="14" t="s">
        <v>1838</v>
      </c>
      <c r="J1011" s="14"/>
    </row>
    <row r="1012" spans="2:10" x14ac:dyDescent="0.25">
      <c r="B1012" s="11"/>
      <c r="C1012" s="188"/>
      <c r="D1012" s="188"/>
      <c r="E1012" s="188"/>
      <c r="F1012" s="188"/>
      <c r="G1012" s="188"/>
      <c r="H1012" s="188"/>
      <c r="I1012" s="14" t="s">
        <v>1839</v>
      </c>
      <c r="J1012" s="14"/>
    </row>
    <row r="1013" spans="2:10" x14ac:dyDescent="0.25">
      <c r="B1013" s="1" t="s">
        <v>1840</v>
      </c>
      <c r="C1013" s="253" t="s">
        <v>1701</v>
      </c>
      <c r="D1013" s="253"/>
      <c r="E1013" s="253" t="s">
        <v>390</v>
      </c>
      <c r="F1013" s="253"/>
      <c r="G1013" s="253" t="s">
        <v>1326</v>
      </c>
      <c r="H1013" s="253"/>
      <c r="I1013" s="14" t="s">
        <v>1841</v>
      </c>
      <c r="J1013" s="14"/>
    </row>
    <row r="1014" spans="2:10" x14ac:dyDescent="0.25">
      <c r="B1014" s="1"/>
      <c r="C1014" s="189"/>
      <c r="D1014" s="189"/>
      <c r="E1014" s="189"/>
      <c r="F1014" s="189"/>
      <c r="G1014" s="189"/>
      <c r="H1014" s="189"/>
      <c r="I1014" s="14"/>
      <c r="J1014" s="14"/>
    </row>
    <row r="1015" spans="2:10" x14ac:dyDescent="0.25">
      <c r="B1015" s="11" t="s">
        <v>518</v>
      </c>
      <c r="C1015" s="252" t="s">
        <v>1127</v>
      </c>
      <c r="D1015" s="252"/>
      <c r="E1015" s="252" t="s">
        <v>1842</v>
      </c>
      <c r="F1015" s="252"/>
      <c r="G1015" s="252" t="s">
        <v>1717</v>
      </c>
      <c r="H1015" s="252"/>
    </row>
    <row r="1016" spans="2:10" x14ac:dyDescent="0.25">
      <c r="B1016" s="11"/>
      <c r="C1016" s="188"/>
      <c r="D1016" s="188"/>
      <c r="E1016" s="188"/>
      <c r="F1016" s="188"/>
      <c r="G1016" s="188"/>
      <c r="H1016" s="188"/>
    </row>
    <row r="1017" spans="2:10" x14ac:dyDescent="0.25">
      <c r="B1017" s="1" t="s">
        <v>1843</v>
      </c>
      <c r="C1017" s="255" t="s">
        <v>1844</v>
      </c>
      <c r="D1017" s="255"/>
      <c r="E1017" s="255" t="s">
        <v>1708</v>
      </c>
      <c r="F1017" s="255"/>
      <c r="G1017" s="255" t="s">
        <v>1109</v>
      </c>
      <c r="H1017" s="255"/>
    </row>
    <row r="1018" spans="2:10" x14ac:dyDescent="0.25">
      <c r="B1018" s="1" t="s">
        <v>1845</v>
      </c>
      <c r="C1018" s="255" t="s">
        <v>758</v>
      </c>
      <c r="D1018" s="255"/>
      <c r="E1018" s="255" t="s">
        <v>1846</v>
      </c>
      <c r="F1018" s="255"/>
      <c r="G1018" s="255" t="s">
        <v>1847</v>
      </c>
      <c r="H1018" s="255"/>
    </row>
    <row r="1019" spans="2:10" x14ac:dyDescent="0.25">
      <c r="B1019" s="11" t="s">
        <v>1848</v>
      </c>
      <c r="C1019" s="252" t="s">
        <v>1849</v>
      </c>
      <c r="D1019" s="252"/>
      <c r="E1019" s="252" t="s">
        <v>1850</v>
      </c>
      <c r="F1019" s="252"/>
      <c r="G1019" s="252" t="s">
        <v>1851</v>
      </c>
      <c r="H1019" s="252"/>
    </row>
    <row r="1020" spans="2:10" x14ac:dyDescent="0.25">
      <c r="B1020" s="11" t="s">
        <v>1852</v>
      </c>
      <c r="C1020" s="188"/>
      <c r="D1020" s="188"/>
      <c r="E1020" s="188"/>
      <c r="F1020" s="188"/>
      <c r="G1020" s="188"/>
      <c r="H1020" s="188"/>
    </row>
    <row r="1021" spans="2:10" x14ac:dyDescent="0.25">
      <c r="B1021" s="1" t="s">
        <v>677</v>
      </c>
      <c r="C1021" s="255" t="s">
        <v>1853</v>
      </c>
      <c r="D1021" s="255"/>
      <c r="E1021" s="255" t="s">
        <v>375</v>
      </c>
      <c r="F1021" s="255"/>
      <c r="G1021" s="255" t="s">
        <v>383</v>
      </c>
      <c r="H1021" s="255"/>
    </row>
    <row r="1022" spans="2:10" x14ac:dyDescent="0.25">
      <c r="B1022" s="1"/>
      <c r="C1022" s="191"/>
      <c r="D1022" s="191"/>
      <c r="E1022" s="191"/>
      <c r="F1022" s="191"/>
      <c r="G1022" s="191"/>
      <c r="H1022" s="191"/>
    </row>
    <row r="1023" spans="2:10" x14ac:dyDescent="0.25">
      <c r="B1023" s="11" t="s">
        <v>1854</v>
      </c>
      <c r="C1023" s="252" t="s">
        <v>1855</v>
      </c>
      <c r="D1023" s="252"/>
      <c r="E1023" s="252" t="s">
        <v>1856</v>
      </c>
      <c r="F1023" s="252"/>
      <c r="G1023" s="252" t="s">
        <v>1809</v>
      </c>
      <c r="H1023" s="252"/>
    </row>
    <row r="1024" spans="2:10" ht="15.75" thickBot="1" x14ac:dyDescent="0.3">
      <c r="B1024" s="11" t="s">
        <v>869</v>
      </c>
      <c r="C1024" s="188"/>
      <c r="D1024" s="188"/>
      <c r="E1024" s="188"/>
      <c r="F1024" s="188"/>
      <c r="G1024" s="188"/>
      <c r="H1024" s="188"/>
    </row>
    <row r="1025" spans="2:13" x14ac:dyDescent="0.25">
      <c r="B1025" s="217" t="s">
        <v>401</v>
      </c>
      <c r="C1025" s="218"/>
      <c r="D1025" s="218"/>
      <c r="E1025" s="218"/>
      <c r="F1025" s="218"/>
      <c r="G1025" s="218"/>
      <c r="H1025" s="218"/>
      <c r="I1025" s="218"/>
      <c r="J1025" s="218"/>
      <c r="K1025" s="218"/>
      <c r="L1025" s="218"/>
      <c r="M1025" s="219"/>
    </row>
    <row r="1026" spans="2:13" x14ac:dyDescent="0.25">
      <c r="B1026" s="3" t="s">
        <v>402</v>
      </c>
      <c r="C1026" s="232" t="s">
        <v>403</v>
      </c>
      <c r="D1026" s="232"/>
      <c r="E1026" s="232" t="s">
        <v>467</v>
      </c>
      <c r="F1026" s="232"/>
      <c r="G1026" s="232" t="s">
        <v>405</v>
      </c>
      <c r="H1026" s="232"/>
      <c r="I1026" s="232" t="s">
        <v>406</v>
      </c>
      <c r="J1026" s="232"/>
      <c r="K1026" s="234" t="s">
        <v>468</v>
      </c>
      <c r="L1026" s="235"/>
      <c r="M1026" s="236"/>
    </row>
    <row r="1027" spans="2:13" ht="15.75" thickBot="1" x14ac:dyDescent="0.3">
      <c r="B1027" s="5">
        <v>2</v>
      </c>
      <c r="C1027" s="237">
        <v>1</v>
      </c>
      <c r="D1027" s="238"/>
      <c r="E1027" s="239">
        <v>0.375</v>
      </c>
      <c r="F1027" s="238"/>
      <c r="G1027" s="240"/>
      <c r="H1027" s="240"/>
      <c r="I1027" s="241"/>
      <c r="J1027" s="241"/>
      <c r="K1027" s="242"/>
      <c r="L1027" s="243"/>
      <c r="M1027" s="244"/>
    </row>
    <row r="1028" spans="2:13" ht="15.75" thickBot="1" x14ac:dyDescent="0.3">
      <c r="B1028" s="1"/>
      <c r="C1028" s="1"/>
      <c r="D1028" s="1"/>
      <c r="E1028" s="1"/>
      <c r="F1028" s="1"/>
      <c r="G1028" s="1"/>
      <c r="H1028" s="1"/>
    </row>
    <row r="1029" spans="2:13" x14ac:dyDescent="0.25">
      <c r="B1029" s="217" t="s">
        <v>408</v>
      </c>
      <c r="C1029" s="218"/>
      <c r="D1029" s="218"/>
      <c r="E1029" s="218"/>
      <c r="F1029" s="218"/>
      <c r="G1029" s="218"/>
      <c r="H1029" s="218"/>
      <c r="I1029" s="218"/>
      <c r="J1029" s="218"/>
      <c r="K1029" s="218"/>
      <c r="L1029" s="218"/>
      <c r="M1029" s="219"/>
    </row>
    <row r="1030" spans="2:13" x14ac:dyDescent="0.25">
      <c r="B1030" s="3" t="s">
        <v>1857</v>
      </c>
      <c r="C1030" s="232" t="s">
        <v>1858</v>
      </c>
      <c r="D1030" s="232"/>
      <c r="E1030" s="268" t="s">
        <v>1363</v>
      </c>
      <c r="F1030" s="268"/>
      <c r="G1030" s="233" t="s">
        <v>1859</v>
      </c>
      <c r="H1030" s="233"/>
      <c r="I1030" s="232" t="s">
        <v>1860</v>
      </c>
      <c r="J1030" s="232"/>
      <c r="K1030" s="232" t="s">
        <v>1861</v>
      </c>
      <c r="L1030" s="232"/>
      <c r="M1030" s="269"/>
    </row>
    <row r="1031" spans="2:13" ht="15.75" thickBot="1" x14ac:dyDescent="0.3">
      <c r="B1031" s="5" t="s">
        <v>1862</v>
      </c>
      <c r="C1031" s="240" t="s">
        <v>1863</v>
      </c>
      <c r="D1031" s="240"/>
      <c r="E1031" s="240" t="s">
        <v>1864</v>
      </c>
      <c r="F1031" s="240"/>
      <c r="G1031" s="240" t="s">
        <v>1865</v>
      </c>
      <c r="H1031" s="240"/>
      <c r="I1031" s="266" t="s">
        <v>1866</v>
      </c>
      <c r="J1031" s="266"/>
      <c r="K1031" s="240" t="s">
        <v>1867</v>
      </c>
      <c r="L1031" s="240"/>
      <c r="M1031" s="267"/>
    </row>
    <row r="1033" spans="2:13" ht="23.25" x14ac:dyDescent="0.35">
      <c r="B1033" s="29" t="s">
        <v>334</v>
      </c>
      <c r="C1033" s="229" t="s">
        <v>30</v>
      </c>
      <c r="D1033" s="229"/>
      <c r="E1033" s="229"/>
      <c r="F1033" s="229"/>
      <c r="G1033" s="229"/>
      <c r="H1033" s="229"/>
      <c r="I1033" s="229"/>
      <c r="J1033" s="229"/>
    </row>
    <row r="1034" spans="2:13" ht="18.75" x14ac:dyDescent="0.3">
      <c r="B1034" s="12" t="s">
        <v>335</v>
      </c>
      <c r="C1034" s="195" t="s">
        <v>336</v>
      </c>
      <c r="D1034" s="228" t="s">
        <v>427</v>
      </c>
      <c r="E1034" s="228"/>
      <c r="F1034" s="1" t="s">
        <v>1868</v>
      </c>
      <c r="L1034" s="12" t="s">
        <v>339</v>
      </c>
      <c r="M1034" s="6" t="s">
        <v>29</v>
      </c>
    </row>
    <row r="1036" spans="2:13" x14ac:dyDescent="0.25">
      <c r="B1036" s="2" t="s">
        <v>341</v>
      </c>
      <c r="C1036" s="250" t="s">
        <v>342</v>
      </c>
      <c r="D1036" s="250"/>
      <c r="E1036" s="250" t="s">
        <v>343</v>
      </c>
      <c r="F1036" s="250"/>
      <c r="G1036" s="250" t="s">
        <v>954</v>
      </c>
      <c r="H1036" s="250"/>
      <c r="I1036" s="228" t="s">
        <v>345</v>
      </c>
      <c r="J1036" s="228"/>
      <c r="K1036" s="228"/>
      <c r="L1036" s="228"/>
      <c r="M1036" s="228"/>
    </row>
    <row r="1037" spans="2:13" x14ac:dyDescent="0.25">
      <c r="C1037" s="251"/>
      <c r="D1037" s="251"/>
      <c r="E1037" s="251"/>
      <c r="F1037" s="251"/>
      <c r="G1037" s="251"/>
      <c r="H1037" s="251"/>
      <c r="I1037" s="7"/>
      <c r="J1037" s="7"/>
      <c r="K1037" s="7"/>
      <c r="L1037" s="7"/>
      <c r="M1037" s="7"/>
    </row>
    <row r="1038" spans="2:13" x14ac:dyDescent="0.25">
      <c r="B1038" s="11" t="s">
        <v>1869</v>
      </c>
      <c r="C1038" s="252" t="s">
        <v>1870</v>
      </c>
      <c r="D1038" s="252"/>
      <c r="E1038" s="252" t="s">
        <v>1871</v>
      </c>
      <c r="F1038" s="252"/>
      <c r="G1038" s="252" t="s">
        <v>1872</v>
      </c>
      <c r="H1038" s="252"/>
      <c r="I1038" s="64" t="s">
        <v>1873</v>
      </c>
      <c r="J1038" s="14"/>
      <c r="K1038" s="7"/>
      <c r="L1038" s="7"/>
      <c r="M1038" s="7"/>
    </row>
    <row r="1039" spans="2:13" x14ac:dyDescent="0.25">
      <c r="B1039" s="11"/>
      <c r="C1039" s="188"/>
      <c r="D1039" s="188"/>
      <c r="E1039" s="188"/>
      <c r="F1039" s="188"/>
      <c r="G1039" s="188"/>
      <c r="H1039" s="188"/>
      <c r="I1039" t="s">
        <v>1874</v>
      </c>
      <c r="J1039" s="14"/>
      <c r="K1039" s="7"/>
      <c r="L1039" s="7"/>
      <c r="M1039" s="7"/>
    </row>
    <row r="1040" spans="2:13" x14ac:dyDescent="0.25">
      <c r="B1040" s="1" t="s">
        <v>548</v>
      </c>
      <c r="C1040" s="253" t="s">
        <v>1130</v>
      </c>
      <c r="D1040" s="253"/>
      <c r="E1040" s="253" t="s">
        <v>1131</v>
      </c>
      <c r="F1040" s="253"/>
      <c r="G1040" s="253" t="s">
        <v>1026</v>
      </c>
      <c r="H1040" s="253"/>
      <c r="I1040" s="64" t="s">
        <v>1875</v>
      </c>
      <c r="J1040" s="14"/>
      <c r="K1040" s="7"/>
      <c r="L1040" s="7"/>
      <c r="M1040" s="7"/>
    </row>
    <row r="1041" spans="2:13" x14ac:dyDescent="0.25">
      <c r="B1041" s="1"/>
      <c r="C1041" s="253"/>
      <c r="D1041" s="253"/>
      <c r="E1041" s="253"/>
      <c r="F1041" s="253"/>
      <c r="G1041" s="253"/>
      <c r="H1041" s="253"/>
      <c r="I1041" t="s">
        <v>1876</v>
      </c>
      <c r="J1041" s="14"/>
      <c r="K1041" s="7"/>
      <c r="L1041" s="7"/>
      <c r="M1041" s="7"/>
    </row>
    <row r="1042" spans="2:13" x14ac:dyDescent="0.25">
      <c r="B1042" s="11" t="s">
        <v>1046</v>
      </c>
      <c r="C1042" s="252" t="s">
        <v>1877</v>
      </c>
      <c r="D1042" s="252"/>
      <c r="E1042" s="252" t="s">
        <v>1878</v>
      </c>
      <c r="F1042" s="252"/>
      <c r="G1042" s="252" t="s">
        <v>1050</v>
      </c>
      <c r="H1042" s="252"/>
      <c r="I1042" t="s">
        <v>1879</v>
      </c>
      <c r="J1042" s="14"/>
      <c r="K1042" s="7"/>
      <c r="L1042" s="7"/>
      <c r="M1042" s="7"/>
    </row>
    <row r="1043" spans="2:13" x14ac:dyDescent="0.25">
      <c r="B1043" s="11"/>
      <c r="C1043" s="252"/>
      <c r="D1043" s="252"/>
      <c r="E1043" s="252"/>
      <c r="F1043" s="252"/>
      <c r="G1043" s="252"/>
      <c r="H1043" s="252"/>
      <c r="I1043" s="64" t="s">
        <v>1880</v>
      </c>
      <c r="J1043" s="14"/>
      <c r="K1043" s="7"/>
      <c r="L1043" s="7"/>
      <c r="M1043" s="7"/>
    </row>
    <row r="1044" spans="2:13" x14ac:dyDescent="0.25">
      <c r="B1044" s="1" t="s">
        <v>1881</v>
      </c>
      <c r="C1044" s="253" t="s">
        <v>1882</v>
      </c>
      <c r="D1044" s="253"/>
      <c r="E1044" s="253" t="s">
        <v>1883</v>
      </c>
      <c r="F1044" s="253"/>
      <c r="G1044" s="253" t="s">
        <v>1884</v>
      </c>
      <c r="H1044" s="253"/>
      <c r="I1044" s="64" t="s">
        <v>1885</v>
      </c>
      <c r="J1044" s="14"/>
      <c r="K1044" s="7"/>
      <c r="L1044" s="7"/>
      <c r="M1044" s="7"/>
    </row>
    <row r="1045" spans="2:13" x14ac:dyDescent="0.25">
      <c r="B1045" s="1"/>
      <c r="C1045" s="189"/>
      <c r="D1045" s="189"/>
      <c r="E1045" s="189"/>
      <c r="F1045" s="189"/>
      <c r="G1045" s="189"/>
      <c r="H1045" s="189"/>
      <c r="I1045" s="64" t="s">
        <v>1886</v>
      </c>
      <c r="J1045" s="14"/>
      <c r="K1045" s="7"/>
      <c r="L1045" s="7"/>
      <c r="M1045" s="7"/>
    </row>
    <row r="1046" spans="2:13" x14ac:dyDescent="0.25">
      <c r="B1046" s="11" t="s">
        <v>1408</v>
      </c>
      <c r="C1046" s="252" t="s">
        <v>1887</v>
      </c>
      <c r="D1046" s="252"/>
      <c r="E1046" s="252" t="s">
        <v>1823</v>
      </c>
      <c r="F1046" s="252"/>
      <c r="G1046" s="252" t="s">
        <v>395</v>
      </c>
      <c r="H1046" s="252"/>
      <c r="I1046" s="64" t="s">
        <v>1888</v>
      </c>
      <c r="J1046" s="14"/>
      <c r="K1046" s="7"/>
      <c r="L1046" s="7"/>
      <c r="M1046" s="7"/>
    </row>
    <row r="1047" spans="2:13" x14ac:dyDescent="0.25">
      <c r="B1047" s="11"/>
      <c r="C1047" s="188"/>
      <c r="D1047" s="188"/>
      <c r="E1047" s="188"/>
      <c r="F1047" s="188"/>
      <c r="G1047" s="188"/>
      <c r="H1047" s="188"/>
      <c r="I1047" t="s">
        <v>1889</v>
      </c>
      <c r="J1047" s="14"/>
      <c r="K1047" s="7"/>
      <c r="L1047" s="7"/>
      <c r="M1047" s="7"/>
    </row>
    <row r="1048" spans="2:13" x14ac:dyDescent="0.25">
      <c r="B1048" s="1" t="s">
        <v>1890</v>
      </c>
      <c r="C1048" s="253" t="s">
        <v>1891</v>
      </c>
      <c r="D1048" s="253"/>
      <c r="E1048" s="253" t="s">
        <v>1892</v>
      </c>
      <c r="F1048" s="253"/>
      <c r="G1048" s="253" t="s">
        <v>1797</v>
      </c>
      <c r="H1048" s="253"/>
      <c r="I1048" t="s">
        <v>1893</v>
      </c>
      <c r="J1048" s="14"/>
      <c r="K1048" s="7"/>
      <c r="L1048" s="7"/>
      <c r="M1048" s="7"/>
    </row>
    <row r="1049" spans="2:13" x14ac:dyDescent="0.25">
      <c r="B1049" s="1"/>
      <c r="C1049" s="189"/>
      <c r="D1049" s="189"/>
      <c r="E1049" s="189"/>
      <c r="F1049" s="189"/>
      <c r="G1049" s="189"/>
      <c r="H1049" s="189"/>
      <c r="I1049" s="64" t="s">
        <v>1894</v>
      </c>
      <c r="J1049" s="14"/>
      <c r="K1049" s="7"/>
      <c r="L1049" s="7"/>
      <c r="M1049" s="7"/>
    </row>
    <row r="1050" spans="2:13" x14ac:dyDescent="0.25">
      <c r="B1050" s="11" t="s">
        <v>1895</v>
      </c>
      <c r="C1050" s="265" t="s">
        <v>1896</v>
      </c>
      <c r="D1050" s="265"/>
      <c r="E1050" s="265" t="s">
        <v>1307</v>
      </c>
      <c r="F1050" s="265"/>
      <c r="G1050" s="265" t="s">
        <v>1308</v>
      </c>
      <c r="H1050" s="265"/>
      <c r="I1050" s="64" t="s">
        <v>1897</v>
      </c>
      <c r="J1050" s="14"/>
      <c r="K1050" s="7"/>
      <c r="L1050" s="7"/>
      <c r="M1050" s="7"/>
    </row>
    <row r="1051" spans="2:13" x14ac:dyDescent="0.25">
      <c r="B1051" s="11"/>
      <c r="C1051" s="188"/>
      <c r="D1051" s="188"/>
      <c r="E1051" s="188"/>
      <c r="F1051" s="188"/>
      <c r="G1051" s="188"/>
      <c r="H1051" s="188"/>
      <c r="I1051" s="65" t="s">
        <v>1898</v>
      </c>
      <c r="J1051" s="14"/>
    </row>
    <row r="1052" spans="2:13" x14ac:dyDescent="0.25">
      <c r="B1052" s="1" t="s">
        <v>1899</v>
      </c>
      <c r="C1052" s="253" t="s">
        <v>1900</v>
      </c>
      <c r="D1052" s="253"/>
      <c r="E1052" s="253" t="s">
        <v>1901</v>
      </c>
      <c r="F1052" s="253"/>
      <c r="G1052" s="253" t="s">
        <v>1902</v>
      </c>
      <c r="H1052" s="253"/>
      <c r="I1052" s="64" t="s">
        <v>1903</v>
      </c>
      <c r="J1052" s="14"/>
    </row>
    <row r="1053" spans="2:13" x14ac:dyDescent="0.25">
      <c r="B1053" s="1"/>
      <c r="C1053" s="253"/>
      <c r="D1053" s="253"/>
      <c r="E1053" s="253"/>
      <c r="F1053" s="253"/>
      <c r="G1053" s="253"/>
      <c r="H1053" s="253"/>
      <c r="I1053" s="64" t="s">
        <v>1904</v>
      </c>
      <c r="J1053" s="14"/>
    </row>
    <row r="1054" spans="2:13" x14ac:dyDescent="0.25">
      <c r="B1054" s="11" t="s">
        <v>1905</v>
      </c>
      <c r="C1054" s="252" t="s">
        <v>1906</v>
      </c>
      <c r="D1054" s="252"/>
      <c r="E1054" s="252" t="s">
        <v>1797</v>
      </c>
      <c r="F1054" s="252"/>
      <c r="G1054" s="252" t="s">
        <v>1833</v>
      </c>
      <c r="H1054" s="252"/>
      <c r="I1054" s="64" t="s">
        <v>1907</v>
      </c>
      <c r="J1054" s="14"/>
    </row>
    <row r="1055" spans="2:13" x14ac:dyDescent="0.25">
      <c r="B1055" s="11"/>
      <c r="C1055" s="188"/>
      <c r="D1055" s="188"/>
      <c r="E1055" s="188"/>
      <c r="F1055" s="188"/>
      <c r="G1055" s="188"/>
      <c r="H1055" s="188"/>
      <c r="I1055" s="64" t="s">
        <v>1908</v>
      </c>
      <c r="J1055" s="14"/>
    </row>
    <row r="1056" spans="2:13" x14ac:dyDescent="0.25">
      <c r="B1056" s="1" t="s">
        <v>1310</v>
      </c>
      <c r="C1056" s="253" t="s">
        <v>1909</v>
      </c>
      <c r="D1056" s="253"/>
      <c r="E1056" s="253" t="s">
        <v>1809</v>
      </c>
      <c r="F1056" s="253"/>
      <c r="G1056" s="253" t="s">
        <v>1910</v>
      </c>
      <c r="H1056" s="253"/>
      <c r="I1056" s="64" t="s">
        <v>1911</v>
      </c>
      <c r="J1056" s="14"/>
    </row>
    <row r="1057" spans="2:13" x14ac:dyDescent="0.25">
      <c r="B1057" s="1"/>
      <c r="C1057" s="189"/>
      <c r="D1057" s="189"/>
      <c r="E1057" s="189"/>
      <c r="F1057" s="189"/>
      <c r="G1057" s="189"/>
      <c r="H1057" s="189"/>
      <c r="I1057" s="64" t="s">
        <v>1912</v>
      </c>
      <c r="J1057" s="14"/>
    </row>
    <row r="1058" spans="2:13" x14ac:dyDescent="0.25">
      <c r="B1058" s="11" t="s">
        <v>1913</v>
      </c>
      <c r="C1058" s="252" t="s">
        <v>1914</v>
      </c>
      <c r="D1058" s="252"/>
      <c r="E1058" s="252" t="s">
        <v>1915</v>
      </c>
      <c r="F1058" s="252"/>
      <c r="G1058" s="252" t="s">
        <v>1916</v>
      </c>
      <c r="H1058" s="252"/>
      <c r="I1058" t="s">
        <v>1917</v>
      </c>
      <c r="J1058" s="14"/>
    </row>
    <row r="1059" spans="2:13" x14ac:dyDescent="0.25">
      <c r="B1059" s="11"/>
      <c r="C1059" s="188"/>
      <c r="D1059" s="188"/>
      <c r="E1059" s="188"/>
      <c r="F1059" s="188"/>
      <c r="G1059" s="188"/>
      <c r="H1059" s="188"/>
      <c r="I1059" s="64" t="s">
        <v>1918</v>
      </c>
      <c r="J1059" s="14"/>
    </row>
    <row r="1060" spans="2:13" x14ac:dyDescent="0.25">
      <c r="B1060" s="1" t="s">
        <v>965</v>
      </c>
      <c r="C1060" s="253" t="s">
        <v>1919</v>
      </c>
      <c r="D1060" s="253"/>
      <c r="E1060" s="253" t="s">
        <v>1920</v>
      </c>
      <c r="F1060" s="253"/>
      <c r="G1060" s="253" t="s">
        <v>1921</v>
      </c>
      <c r="H1060" s="253"/>
      <c r="I1060" s="64" t="s">
        <v>1922</v>
      </c>
      <c r="J1060" s="14"/>
    </row>
    <row r="1061" spans="2:13" x14ac:dyDescent="0.25">
      <c r="B1061" s="1"/>
      <c r="C1061" s="189"/>
      <c r="D1061" s="189"/>
      <c r="E1061" s="189"/>
      <c r="F1061" s="189"/>
      <c r="G1061" s="189"/>
      <c r="H1061" s="189"/>
      <c r="I1061" s="64" t="s">
        <v>1923</v>
      </c>
      <c r="J1061" s="14"/>
    </row>
    <row r="1062" spans="2:13" x14ac:dyDescent="0.25">
      <c r="B1062" s="11" t="s">
        <v>548</v>
      </c>
      <c r="C1062" s="252" t="s">
        <v>1924</v>
      </c>
      <c r="D1062" s="252"/>
      <c r="E1062" s="252" t="s">
        <v>1223</v>
      </c>
      <c r="F1062" s="252"/>
      <c r="G1062" s="252" t="s">
        <v>891</v>
      </c>
      <c r="H1062" s="252"/>
      <c r="I1062" s="64" t="s">
        <v>1925</v>
      </c>
      <c r="J1062" s="14"/>
    </row>
    <row r="1063" spans="2:13" x14ac:dyDescent="0.25">
      <c r="B1063" s="11"/>
      <c r="C1063" s="188"/>
      <c r="D1063" s="188"/>
      <c r="E1063" s="188"/>
      <c r="F1063" s="188"/>
      <c r="G1063" s="188"/>
      <c r="H1063" s="188"/>
      <c r="I1063" s="14" t="s">
        <v>1926</v>
      </c>
      <c r="J1063" s="14"/>
    </row>
    <row r="1064" spans="2:13" x14ac:dyDescent="0.25">
      <c r="B1064" s="1" t="s">
        <v>1408</v>
      </c>
      <c r="C1064" s="253" t="s">
        <v>399</v>
      </c>
      <c r="D1064" s="253"/>
      <c r="E1064" s="253" t="s">
        <v>400</v>
      </c>
      <c r="F1064" s="253"/>
      <c r="G1064" s="253" t="s">
        <v>1019</v>
      </c>
      <c r="H1064" s="253"/>
      <c r="I1064" s="14"/>
      <c r="J1064" s="14"/>
    </row>
    <row r="1065" spans="2:13" x14ac:dyDescent="0.25">
      <c r="B1065" s="1"/>
      <c r="C1065" s="189"/>
      <c r="D1065" s="189"/>
      <c r="E1065" s="189"/>
      <c r="F1065" s="189"/>
      <c r="G1065" s="189"/>
      <c r="H1065" s="189"/>
      <c r="I1065" s="14"/>
      <c r="J1065" s="14"/>
    </row>
    <row r="1066" spans="2:13" x14ac:dyDescent="0.25">
      <c r="B1066" s="11" t="s">
        <v>1927</v>
      </c>
      <c r="C1066" s="252" t="s">
        <v>391</v>
      </c>
      <c r="D1066" s="252"/>
      <c r="E1066" s="252" t="s">
        <v>392</v>
      </c>
      <c r="F1066" s="252"/>
      <c r="G1066" s="252" t="s">
        <v>1928</v>
      </c>
      <c r="H1066" s="252"/>
      <c r="I1066" s="14"/>
      <c r="J1066" s="14"/>
    </row>
    <row r="1067" spans="2:13" x14ac:dyDescent="0.25">
      <c r="B1067" s="11"/>
      <c r="C1067" s="188"/>
      <c r="D1067" s="188"/>
      <c r="E1067" s="188"/>
      <c r="F1067" s="188"/>
      <c r="G1067" s="188"/>
      <c r="H1067" s="188"/>
      <c r="I1067" s="14"/>
      <c r="J1067" s="14"/>
    </row>
    <row r="1068" spans="2:13" x14ac:dyDescent="0.25">
      <c r="B1068" s="1" t="s">
        <v>396</v>
      </c>
      <c r="C1068" s="253" t="s">
        <v>1929</v>
      </c>
      <c r="D1068" s="253"/>
      <c r="E1068" s="253" t="s">
        <v>1930</v>
      </c>
      <c r="F1068" s="253"/>
      <c r="G1068" s="253" t="s">
        <v>383</v>
      </c>
      <c r="H1068" s="253"/>
      <c r="I1068" s="14"/>
      <c r="J1068" s="14"/>
    </row>
    <row r="1069" spans="2:13" x14ac:dyDescent="0.25">
      <c r="B1069" s="1"/>
      <c r="C1069" s="189"/>
      <c r="D1069" s="189"/>
      <c r="E1069" s="189"/>
      <c r="F1069" s="189"/>
      <c r="G1069" s="189"/>
      <c r="H1069" s="189"/>
      <c r="I1069" s="14"/>
      <c r="J1069" s="14"/>
    </row>
    <row r="1070" spans="2:13" x14ac:dyDescent="0.25">
      <c r="B1070" s="11" t="s">
        <v>1315</v>
      </c>
      <c r="C1070" s="252" t="s">
        <v>1931</v>
      </c>
      <c r="D1070" s="252"/>
      <c r="E1070" s="252" t="s">
        <v>1932</v>
      </c>
      <c r="F1070" s="252"/>
      <c r="G1070" s="252" t="s">
        <v>1933</v>
      </c>
      <c r="H1070" s="252"/>
    </row>
    <row r="1071" spans="2:13" ht="15.75" thickBot="1" x14ac:dyDescent="0.3">
      <c r="B1071" s="11"/>
      <c r="C1071" s="188"/>
      <c r="D1071" s="188"/>
      <c r="E1071" s="188"/>
      <c r="F1071" s="188"/>
      <c r="G1071" s="188"/>
      <c r="H1071" s="188"/>
    </row>
    <row r="1072" spans="2:13" x14ac:dyDescent="0.25">
      <c r="B1072" s="217" t="s">
        <v>401</v>
      </c>
      <c r="C1072" s="218"/>
      <c r="D1072" s="218"/>
      <c r="E1072" s="218"/>
      <c r="F1072" s="218"/>
      <c r="G1072" s="218"/>
      <c r="H1072" s="218"/>
      <c r="I1072" s="218"/>
      <c r="J1072" s="218"/>
      <c r="K1072" s="218"/>
      <c r="L1072" s="218"/>
      <c r="M1072" s="219"/>
    </row>
    <row r="1073" spans="2:13" x14ac:dyDescent="0.25">
      <c r="B1073" s="3" t="s">
        <v>402</v>
      </c>
      <c r="C1073" s="232" t="s">
        <v>403</v>
      </c>
      <c r="D1073" s="232"/>
      <c r="E1073" s="232" t="s">
        <v>467</v>
      </c>
      <c r="F1073" s="232"/>
      <c r="G1073" s="232" t="s">
        <v>405</v>
      </c>
      <c r="H1073" s="232"/>
      <c r="I1073" s="232" t="s">
        <v>406</v>
      </c>
      <c r="J1073" s="232"/>
      <c r="K1073" s="234" t="s">
        <v>468</v>
      </c>
      <c r="L1073" s="235"/>
      <c r="M1073" s="236"/>
    </row>
    <row r="1074" spans="2:13" ht="15.75" thickBot="1" x14ac:dyDescent="0.3">
      <c r="B1074" s="5">
        <v>3.5</v>
      </c>
      <c r="C1074" s="237">
        <v>2</v>
      </c>
      <c r="D1074" s="238"/>
      <c r="E1074" s="239">
        <v>0.375</v>
      </c>
      <c r="F1074" s="238"/>
      <c r="G1074" s="240"/>
      <c r="H1074" s="240"/>
      <c r="I1074" s="241"/>
      <c r="J1074" s="241"/>
      <c r="K1074" s="242"/>
      <c r="L1074" s="243"/>
      <c r="M1074" s="244"/>
    </row>
    <row r="1075" spans="2:13" ht="15.75" thickBot="1" x14ac:dyDescent="0.3">
      <c r="B1075" s="1"/>
      <c r="C1075" s="1"/>
      <c r="D1075" s="1"/>
      <c r="E1075" s="1"/>
      <c r="F1075" s="1"/>
      <c r="G1075" s="1"/>
      <c r="H1075" s="1"/>
    </row>
    <row r="1076" spans="2:13" x14ac:dyDescent="0.25">
      <c r="B1076" s="217" t="s">
        <v>408</v>
      </c>
      <c r="C1076" s="218"/>
      <c r="D1076" s="218"/>
      <c r="E1076" s="218"/>
      <c r="F1076" s="218"/>
      <c r="G1076" s="218"/>
      <c r="H1076" s="218"/>
      <c r="I1076" s="218"/>
      <c r="J1076" s="218"/>
      <c r="K1076" s="218"/>
      <c r="L1076" s="218"/>
      <c r="M1076" s="219"/>
    </row>
    <row r="1077" spans="2:13" x14ac:dyDescent="0.25">
      <c r="B1077" s="3" t="s">
        <v>1934</v>
      </c>
      <c r="C1077" s="232" t="s">
        <v>1935</v>
      </c>
      <c r="D1077" s="232"/>
      <c r="E1077" s="268" t="s">
        <v>1936</v>
      </c>
      <c r="F1077" s="268"/>
      <c r="G1077" s="233" t="s">
        <v>1937</v>
      </c>
      <c r="H1077" s="233"/>
      <c r="I1077" s="232" t="s">
        <v>1938</v>
      </c>
      <c r="J1077" s="232"/>
      <c r="K1077" s="232" t="s">
        <v>1939</v>
      </c>
      <c r="L1077" s="232"/>
      <c r="M1077" s="269"/>
    </row>
    <row r="1078" spans="2:13" ht="15.75" thickBot="1" x14ac:dyDescent="0.3">
      <c r="B1078" s="5" t="s">
        <v>1940</v>
      </c>
      <c r="C1078" s="240" t="s">
        <v>1941</v>
      </c>
      <c r="D1078" s="240"/>
      <c r="E1078" s="240" t="s">
        <v>1942</v>
      </c>
      <c r="F1078" s="240"/>
      <c r="G1078" s="240" t="s">
        <v>1943</v>
      </c>
      <c r="H1078" s="240"/>
      <c r="I1078" s="266" t="s">
        <v>1944</v>
      </c>
      <c r="J1078" s="266"/>
      <c r="K1078" s="240" t="s">
        <v>1945</v>
      </c>
      <c r="L1078" s="240"/>
      <c r="M1078" s="267"/>
    </row>
    <row r="1080" spans="2:13" ht="23.25" x14ac:dyDescent="0.35">
      <c r="B1080" s="29" t="s">
        <v>334</v>
      </c>
      <c r="C1080" s="229" t="s">
        <v>35</v>
      </c>
      <c r="D1080" s="229"/>
      <c r="E1080" s="229"/>
      <c r="F1080" s="229"/>
      <c r="G1080" s="229"/>
      <c r="H1080" s="229"/>
      <c r="I1080" s="229"/>
      <c r="J1080" s="229"/>
    </row>
    <row r="1081" spans="2:13" ht="18.75" x14ac:dyDescent="0.3">
      <c r="B1081" s="12" t="s">
        <v>335</v>
      </c>
      <c r="C1081" s="195" t="s">
        <v>336</v>
      </c>
      <c r="D1081" s="228" t="s">
        <v>427</v>
      </c>
      <c r="E1081" s="228"/>
      <c r="F1081" s="1" t="s">
        <v>832</v>
      </c>
      <c r="L1081" s="12" t="s">
        <v>339</v>
      </c>
      <c r="M1081" s="6" t="s">
        <v>34</v>
      </c>
    </row>
    <row r="1082" spans="2:13" x14ac:dyDescent="0.25">
      <c r="F1082" s="1" t="s">
        <v>833</v>
      </c>
    </row>
    <row r="1083" spans="2:13" x14ac:dyDescent="0.25">
      <c r="B1083" s="2" t="s">
        <v>341</v>
      </c>
      <c r="C1083" s="250" t="s">
        <v>342</v>
      </c>
      <c r="D1083" s="250"/>
      <c r="E1083" s="250" t="s">
        <v>343</v>
      </c>
      <c r="F1083" s="250"/>
      <c r="G1083" s="250" t="s">
        <v>954</v>
      </c>
      <c r="H1083" s="250"/>
      <c r="I1083" s="228" t="s">
        <v>345</v>
      </c>
      <c r="J1083" s="228"/>
      <c r="K1083" s="228"/>
      <c r="L1083" s="228"/>
      <c r="M1083" s="228"/>
    </row>
    <row r="1084" spans="2:13" x14ac:dyDescent="0.25">
      <c r="C1084" s="251"/>
      <c r="D1084" s="251"/>
      <c r="E1084" s="251"/>
      <c r="F1084" s="251"/>
      <c r="G1084" s="251"/>
      <c r="H1084" s="251"/>
      <c r="I1084" s="7"/>
      <c r="J1084" s="7"/>
      <c r="K1084" s="7"/>
      <c r="L1084" s="7"/>
      <c r="M1084" s="7"/>
    </row>
    <row r="1085" spans="2:13" x14ac:dyDescent="0.25">
      <c r="B1085" s="11" t="s">
        <v>1946</v>
      </c>
      <c r="C1085" s="252" t="s">
        <v>1947</v>
      </c>
      <c r="D1085" s="252"/>
      <c r="E1085" s="252" t="s">
        <v>1948</v>
      </c>
      <c r="F1085" s="252"/>
      <c r="G1085" s="252" t="s">
        <v>1949</v>
      </c>
      <c r="H1085" s="252"/>
      <c r="I1085" s="64" t="s">
        <v>1950</v>
      </c>
      <c r="J1085" s="14"/>
      <c r="K1085" s="7"/>
      <c r="L1085" s="7"/>
      <c r="M1085" s="7"/>
    </row>
    <row r="1086" spans="2:13" x14ac:dyDescent="0.25">
      <c r="B1086" s="11"/>
      <c r="C1086" s="188"/>
      <c r="D1086" s="188"/>
      <c r="E1086" s="188"/>
      <c r="F1086" s="188"/>
      <c r="G1086" s="188"/>
      <c r="H1086" s="188"/>
      <c r="I1086" s="14" t="s">
        <v>1951</v>
      </c>
      <c r="J1086" s="14"/>
      <c r="K1086" s="7"/>
      <c r="L1086" s="7"/>
      <c r="M1086" s="7"/>
    </row>
    <row r="1087" spans="2:13" x14ac:dyDescent="0.25">
      <c r="B1087" s="1" t="s">
        <v>1952</v>
      </c>
      <c r="C1087" s="253" t="s">
        <v>1953</v>
      </c>
      <c r="D1087" s="253"/>
      <c r="E1087" s="253" t="s">
        <v>1954</v>
      </c>
      <c r="F1087" s="253"/>
      <c r="G1087" s="253" t="s">
        <v>1202</v>
      </c>
      <c r="H1087" s="253"/>
      <c r="I1087" s="64" t="s">
        <v>1955</v>
      </c>
      <c r="J1087" s="14"/>
      <c r="K1087" s="7"/>
      <c r="L1087" s="7"/>
      <c r="M1087" s="7"/>
    </row>
    <row r="1088" spans="2:13" x14ac:dyDescent="0.25">
      <c r="B1088" s="1"/>
      <c r="C1088" s="253"/>
      <c r="D1088" s="253"/>
      <c r="E1088" s="253"/>
      <c r="F1088" s="253"/>
      <c r="G1088" s="253"/>
      <c r="H1088" s="253"/>
      <c r="I1088" s="64" t="s">
        <v>1836</v>
      </c>
      <c r="J1088" s="14"/>
      <c r="K1088" s="7"/>
      <c r="L1088" s="7"/>
      <c r="M1088" s="7"/>
    </row>
    <row r="1089" spans="2:13" x14ac:dyDescent="0.25">
      <c r="B1089" s="11" t="s">
        <v>515</v>
      </c>
      <c r="C1089" s="252" t="s">
        <v>882</v>
      </c>
      <c r="D1089" s="252"/>
      <c r="E1089" s="252" t="s">
        <v>1131</v>
      </c>
      <c r="F1089" s="252"/>
      <c r="G1089" s="252" t="s">
        <v>1026</v>
      </c>
      <c r="H1089" s="252"/>
      <c r="I1089" s="64" t="s">
        <v>1956</v>
      </c>
      <c r="J1089" s="14"/>
      <c r="K1089" s="7"/>
      <c r="L1089" s="7"/>
      <c r="M1089" s="7"/>
    </row>
    <row r="1090" spans="2:13" x14ac:dyDescent="0.25">
      <c r="B1090" s="11"/>
      <c r="C1090" s="252"/>
      <c r="D1090" s="252"/>
      <c r="E1090" s="252"/>
      <c r="F1090" s="252"/>
      <c r="G1090" s="252"/>
      <c r="H1090" s="252"/>
      <c r="I1090" s="64" t="s">
        <v>1957</v>
      </c>
      <c r="J1090" s="14"/>
      <c r="K1090" s="7"/>
      <c r="L1090" s="7"/>
      <c r="M1090" s="7"/>
    </row>
    <row r="1091" spans="2:13" x14ac:dyDescent="0.25">
      <c r="B1091" s="1" t="s">
        <v>1046</v>
      </c>
      <c r="C1091" s="253" t="s">
        <v>1629</v>
      </c>
      <c r="D1091" s="253"/>
      <c r="E1091" s="253" t="s">
        <v>1223</v>
      </c>
      <c r="F1091" s="253"/>
      <c r="G1091" s="253" t="s">
        <v>891</v>
      </c>
      <c r="H1091" s="253"/>
      <c r="I1091" s="64" t="s">
        <v>612</v>
      </c>
      <c r="J1091" s="14"/>
      <c r="K1091" s="7"/>
      <c r="L1091" s="7"/>
      <c r="M1091" s="7"/>
    </row>
    <row r="1092" spans="2:13" x14ac:dyDescent="0.25">
      <c r="B1092" s="1"/>
      <c r="C1092" s="189"/>
      <c r="D1092" s="189"/>
      <c r="E1092" s="189"/>
      <c r="F1092" s="189"/>
      <c r="G1092" s="189"/>
      <c r="H1092" s="189"/>
      <c r="I1092" s="64" t="s">
        <v>1958</v>
      </c>
      <c r="J1092" s="14"/>
      <c r="K1092" s="7"/>
      <c r="L1092" s="7"/>
      <c r="M1092" s="7"/>
    </row>
    <row r="1093" spans="2:13" x14ac:dyDescent="0.25">
      <c r="B1093" s="11" t="s">
        <v>1959</v>
      </c>
      <c r="C1093" s="252" t="s">
        <v>1717</v>
      </c>
      <c r="D1093" s="252"/>
      <c r="E1093" s="252" t="s">
        <v>1718</v>
      </c>
      <c r="F1093" s="252"/>
      <c r="G1093" s="252" t="s">
        <v>1960</v>
      </c>
      <c r="H1093" s="252"/>
      <c r="I1093" s="64"/>
      <c r="J1093" s="14"/>
      <c r="K1093" s="7"/>
      <c r="L1093" s="7"/>
      <c r="M1093" s="7"/>
    </row>
    <row r="1094" spans="2:13" x14ac:dyDescent="0.25">
      <c r="B1094" s="11"/>
      <c r="C1094" s="188"/>
      <c r="D1094" s="188"/>
      <c r="E1094" s="188"/>
      <c r="F1094" s="188"/>
      <c r="G1094" s="188"/>
      <c r="H1094" s="188"/>
      <c r="I1094" s="14"/>
      <c r="J1094" s="14"/>
      <c r="K1094" s="7"/>
      <c r="L1094" s="7"/>
      <c r="M1094" s="7"/>
    </row>
    <row r="1095" spans="2:13" x14ac:dyDescent="0.25">
      <c r="B1095" s="1" t="s">
        <v>1961</v>
      </c>
      <c r="C1095" s="253" t="s">
        <v>1962</v>
      </c>
      <c r="D1095" s="253"/>
      <c r="E1095" s="253" t="s">
        <v>1963</v>
      </c>
      <c r="F1095" s="253"/>
      <c r="G1095" s="253" t="s">
        <v>1964</v>
      </c>
      <c r="H1095" s="253"/>
      <c r="I1095" s="14"/>
      <c r="J1095" s="14"/>
      <c r="K1095" s="7"/>
      <c r="L1095" s="7"/>
      <c r="M1095" s="7"/>
    </row>
    <row r="1096" spans="2:13" x14ac:dyDescent="0.25">
      <c r="B1096" s="1" t="s">
        <v>1965</v>
      </c>
      <c r="C1096" s="189"/>
      <c r="D1096" s="189"/>
      <c r="E1096" s="189"/>
      <c r="F1096" s="189"/>
      <c r="G1096" s="189"/>
      <c r="H1096" s="189"/>
      <c r="I1096" s="64"/>
      <c r="J1096" s="14"/>
      <c r="K1096" s="7"/>
      <c r="L1096" s="7"/>
      <c r="M1096" s="7"/>
    </row>
    <row r="1097" spans="2:13" x14ac:dyDescent="0.25">
      <c r="B1097" s="11" t="s">
        <v>1966</v>
      </c>
      <c r="C1097" s="265" t="s">
        <v>1853</v>
      </c>
      <c r="D1097" s="265"/>
      <c r="E1097" s="265" t="s">
        <v>375</v>
      </c>
      <c r="F1097" s="265"/>
      <c r="G1097" s="265" t="s">
        <v>383</v>
      </c>
      <c r="H1097" s="265"/>
      <c r="I1097" s="64"/>
      <c r="J1097" s="14"/>
      <c r="K1097" s="7"/>
      <c r="L1097" s="7"/>
      <c r="M1097" s="7"/>
    </row>
    <row r="1098" spans="2:13" x14ac:dyDescent="0.25">
      <c r="B1098" s="11"/>
      <c r="C1098" s="188"/>
      <c r="D1098" s="188"/>
      <c r="E1098" s="188"/>
      <c r="F1098" s="188"/>
      <c r="G1098" s="188"/>
      <c r="H1098" s="188"/>
      <c r="I1098" s="64"/>
      <c r="J1098" s="14"/>
    </row>
    <row r="1099" spans="2:13" x14ac:dyDescent="0.25">
      <c r="B1099" s="1" t="s">
        <v>1967</v>
      </c>
      <c r="C1099" s="253" t="s">
        <v>1833</v>
      </c>
      <c r="D1099" s="253"/>
      <c r="E1099" s="253" t="s">
        <v>1834</v>
      </c>
      <c r="F1099" s="253"/>
      <c r="G1099" s="253" t="s">
        <v>1835</v>
      </c>
      <c r="H1099" s="253"/>
      <c r="I1099" s="64"/>
      <c r="J1099" s="14"/>
    </row>
    <row r="1100" spans="2:13" x14ac:dyDescent="0.25">
      <c r="B1100" s="1"/>
      <c r="C1100" s="253"/>
      <c r="D1100" s="253"/>
      <c r="E1100" s="253"/>
      <c r="F1100" s="253"/>
      <c r="G1100" s="253"/>
      <c r="H1100" s="253"/>
      <c r="J1100" s="14"/>
    </row>
    <row r="1101" spans="2:13" x14ac:dyDescent="0.25">
      <c r="B1101" s="11" t="s">
        <v>1968</v>
      </c>
      <c r="C1101" s="252" t="s">
        <v>1969</v>
      </c>
      <c r="D1101" s="252"/>
      <c r="E1101" s="252" t="s">
        <v>1970</v>
      </c>
      <c r="F1101" s="252"/>
      <c r="G1101" s="252" t="s">
        <v>1971</v>
      </c>
      <c r="H1101" s="252"/>
      <c r="I1101" s="64"/>
      <c r="J1101" s="14"/>
    </row>
    <row r="1102" spans="2:13" x14ac:dyDescent="0.25">
      <c r="B1102" s="11"/>
      <c r="C1102" s="188"/>
      <c r="D1102" s="188"/>
      <c r="E1102" s="188"/>
      <c r="F1102" s="188"/>
      <c r="G1102" s="188"/>
      <c r="H1102" s="188"/>
      <c r="I1102" s="64"/>
      <c r="J1102" s="14"/>
    </row>
    <row r="1103" spans="2:13" x14ac:dyDescent="0.25">
      <c r="B1103" s="1" t="s">
        <v>1972</v>
      </c>
      <c r="C1103" s="253" t="s">
        <v>1973</v>
      </c>
      <c r="D1103" s="253"/>
      <c r="E1103" s="253" t="s">
        <v>1974</v>
      </c>
      <c r="F1103" s="253"/>
      <c r="G1103" s="253" t="s">
        <v>1975</v>
      </c>
      <c r="H1103" s="253"/>
      <c r="I1103" s="64"/>
      <c r="J1103" s="14"/>
    </row>
    <row r="1104" spans="2:13" x14ac:dyDescent="0.25">
      <c r="B1104" s="1"/>
      <c r="C1104" s="189"/>
      <c r="D1104" s="189"/>
      <c r="E1104" s="189"/>
      <c r="F1104" s="189"/>
      <c r="G1104" s="189"/>
      <c r="H1104" s="189"/>
      <c r="I1104" s="64"/>
      <c r="J1104" s="14"/>
    </row>
    <row r="1105" spans="2:13" x14ac:dyDescent="0.25">
      <c r="B1105" s="11" t="s">
        <v>1976</v>
      </c>
      <c r="C1105" s="252" t="s">
        <v>1977</v>
      </c>
      <c r="D1105" s="252"/>
      <c r="E1105" s="252" t="s">
        <v>1311</v>
      </c>
      <c r="F1105" s="252"/>
      <c r="G1105" s="252" t="s">
        <v>1978</v>
      </c>
      <c r="H1105" s="252"/>
      <c r="I1105" s="14"/>
      <c r="J1105" s="14"/>
    </row>
    <row r="1106" spans="2:13" x14ac:dyDescent="0.25">
      <c r="B1106" s="11"/>
      <c r="C1106" s="188"/>
      <c r="D1106" s="188"/>
      <c r="E1106" s="188"/>
      <c r="F1106" s="188"/>
      <c r="G1106" s="188"/>
      <c r="H1106" s="188"/>
      <c r="J1106" s="14"/>
    </row>
    <row r="1107" spans="2:13" x14ac:dyDescent="0.25">
      <c r="B1107" s="1" t="s">
        <v>1979</v>
      </c>
      <c r="C1107" s="253" t="s">
        <v>1980</v>
      </c>
      <c r="D1107" s="253"/>
      <c r="E1107" s="253" t="s">
        <v>1981</v>
      </c>
      <c r="F1107" s="253"/>
      <c r="G1107" s="253" t="s">
        <v>1982</v>
      </c>
      <c r="H1107" s="253"/>
      <c r="J1107" s="14"/>
    </row>
    <row r="1108" spans="2:13" x14ac:dyDescent="0.25">
      <c r="B1108" s="1" t="s">
        <v>1983</v>
      </c>
      <c r="C1108" s="189"/>
      <c r="D1108" s="189"/>
      <c r="E1108" s="189"/>
      <c r="F1108" s="189"/>
      <c r="G1108" s="189"/>
      <c r="H1108" s="189"/>
      <c r="J1108" s="14"/>
    </row>
    <row r="1109" spans="2:13" x14ac:dyDescent="0.25">
      <c r="B1109" s="11" t="s">
        <v>1984</v>
      </c>
      <c r="C1109" s="252" t="s">
        <v>1985</v>
      </c>
      <c r="D1109" s="252"/>
      <c r="E1109" s="252" t="s">
        <v>1986</v>
      </c>
      <c r="F1109" s="252"/>
      <c r="G1109" s="252" t="s">
        <v>1987</v>
      </c>
      <c r="H1109" s="252"/>
      <c r="I1109" s="64"/>
      <c r="J1109" s="14"/>
    </row>
    <row r="1110" spans="2:13" x14ac:dyDescent="0.25">
      <c r="B1110" s="11"/>
      <c r="C1110" s="188"/>
      <c r="D1110" s="188"/>
      <c r="E1110" s="188"/>
      <c r="F1110" s="188"/>
      <c r="G1110" s="188"/>
      <c r="H1110" s="188"/>
      <c r="I1110" s="64"/>
      <c r="J1110" s="14"/>
    </row>
    <row r="1111" spans="2:13" x14ac:dyDescent="0.25">
      <c r="B1111" s="32" t="s">
        <v>518</v>
      </c>
      <c r="C1111" s="255" t="s">
        <v>1053</v>
      </c>
      <c r="D1111" s="255"/>
      <c r="E1111" s="255" t="s">
        <v>1988</v>
      </c>
      <c r="F1111" s="255"/>
      <c r="G1111" s="255" t="s">
        <v>1989</v>
      </c>
      <c r="H1111" s="255"/>
      <c r="I1111" s="64"/>
      <c r="J1111" s="14"/>
    </row>
    <row r="1112" spans="2:13" x14ac:dyDescent="0.25">
      <c r="B1112" s="32"/>
      <c r="C1112" s="191"/>
      <c r="D1112" s="191"/>
      <c r="E1112" s="191"/>
      <c r="F1112" s="191"/>
      <c r="G1112" s="191"/>
      <c r="H1112" s="191"/>
      <c r="I1112" s="64"/>
      <c r="J1112" s="14"/>
    </row>
    <row r="1113" spans="2:13" x14ac:dyDescent="0.25">
      <c r="B1113" s="11" t="s">
        <v>1990</v>
      </c>
      <c r="C1113" s="252" t="s">
        <v>392</v>
      </c>
      <c r="D1113" s="252"/>
      <c r="E1113" s="252" t="s">
        <v>786</v>
      </c>
      <c r="F1113" s="252"/>
      <c r="G1113" s="252" t="s">
        <v>382</v>
      </c>
      <c r="H1113" s="252"/>
      <c r="I1113" s="64"/>
      <c r="J1113" s="14"/>
    </row>
    <row r="1114" spans="2:13" x14ac:dyDescent="0.25">
      <c r="B1114" s="11"/>
      <c r="C1114" s="188"/>
      <c r="D1114" s="188"/>
      <c r="E1114" s="188"/>
      <c r="F1114" s="188"/>
      <c r="G1114" s="188"/>
      <c r="H1114" s="188"/>
      <c r="I1114" s="64"/>
      <c r="J1114" s="14"/>
    </row>
    <row r="1115" spans="2:13" x14ac:dyDescent="0.25">
      <c r="B1115" s="32" t="s">
        <v>1714</v>
      </c>
      <c r="C1115" s="255"/>
      <c r="D1115" s="255"/>
      <c r="E1115" s="255"/>
      <c r="F1115" s="255"/>
      <c r="G1115" s="255"/>
      <c r="H1115" s="255"/>
      <c r="I1115" s="64"/>
      <c r="J1115" s="14"/>
    </row>
    <row r="1116" spans="2:13" ht="15.75" thickBot="1" x14ac:dyDescent="0.3">
      <c r="B1116" s="32"/>
      <c r="C1116" s="191"/>
      <c r="D1116" s="191"/>
      <c r="E1116" s="191"/>
      <c r="F1116" s="191"/>
      <c r="G1116" s="191"/>
      <c r="H1116" s="191"/>
      <c r="I1116" s="14"/>
      <c r="J1116" s="14"/>
    </row>
    <row r="1117" spans="2:13" x14ac:dyDescent="0.25">
      <c r="B1117" s="274" t="s">
        <v>401</v>
      </c>
      <c r="C1117" s="275"/>
      <c r="D1117" s="275"/>
      <c r="E1117" s="275"/>
      <c r="F1117" s="275"/>
      <c r="G1117" s="275"/>
      <c r="H1117" s="275"/>
      <c r="I1117" s="275"/>
      <c r="J1117" s="275"/>
      <c r="K1117" s="275"/>
      <c r="L1117" s="275"/>
      <c r="M1117" s="276"/>
    </row>
    <row r="1118" spans="2:13" x14ac:dyDescent="0.25">
      <c r="B1118" s="3" t="s">
        <v>402</v>
      </c>
      <c r="C1118" s="232" t="s">
        <v>403</v>
      </c>
      <c r="D1118" s="232"/>
      <c r="E1118" s="232" t="s">
        <v>467</v>
      </c>
      <c r="F1118" s="232"/>
      <c r="G1118" s="232" t="s">
        <v>405</v>
      </c>
      <c r="H1118" s="232"/>
      <c r="I1118" s="234" t="s">
        <v>1991</v>
      </c>
      <c r="J1118" s="277"/>
      <c r="K1118" s="234" t="s">
        <v>407</v>
      </c>
      <c r="L1118" s="235"/>
      <c r="M1118" s="236"/>
    </row>
    <row r="1119" spans="2:13" ht="15.75" thickBot="1" x14ac:dyDescent="0.3">
      <c r="B1119" s="5">
        <v>2</v>
      </c>
      <c r="C1119" s="237">
        <v>0.45</v>
      </c>
      <c r="D1119" s="238"/>
      <c r="E1119" s="239">
        <v>0.25</v>
      </c>
      <c r="F1119" s="238"/>
      <c r="G1119" s="240"/>
      <c r="H1119" s="240"/>
      <c r="I1119" s="239">
        <v>0.32769999999999999</v>
      </c>
      <c r="J1119" s="238"/>
      <c r="K1119" s="239"/>
      <c r="L1119" s="237"/>
      <c r="M1119" s="308"/>
    </row>
    <row r="1120" spans="2:13" ht="15.75" thickBot="1" x14ac:dyDescent="0.3">
      <c r="B1120" s="1"/>
      <c r="C1120" s="1"/>
      <c r="D1120" s="1"/>
      <c r="E1120" s="1"/>
      <c r="F1120" s="1"/>
      <c r="G1120" s="1"/>
      <c r="H1120" s="1"/>
    </row>
    <row r="1121" spans="2:13" x14ac:dyDescent="0.25">
      <c r="B1121" s="274" t="s">
        <v>408</v>
      </c>
      <c r="C1121" s="275"/>
      <c r="D1121" s="275"/>
      <c r="E1121" s="275"/>
      <c r="F1121" s="275"/>
      <c r="G1121" s="275"/>
      <c r="H1121" s="275"/>
      <c r="I1121" s="275"/>
      <c r="J1121" s="275"/>
      <c r="K1121" s="275"/>
      <c r="L1121" s="275"/>
      <c r="M1121" s="276"/>
    </row>
    <row r="1122" spans="2:13" x14ac:dyDescent="0.25">
      <c r="B1122" s="3" t="s">
        <v>1992</v>
      </c>
      <c r="C1122" s="232" t="s">
        <v>1727</v>
      </c>
      <c r="D1122" s="232"/>
      <c r="E1122" s="268" t="s">
        <v>1993</v>
      </c>
      <c r="F1122" s="268"/>
      <c r="G1122" s="233" t="s">
        <v>1994</v>
      </c>
      <c r="H1122" s="233"/>
      <c r="I1122" s="234" t="s">
        <v>1995</v>
      </c>
      <c r="J1122" s="277"/>
      <c r="K1122" s="232" t="s">
        <v>1996</v>
      </c>
      <c r="L1122" s="232"/>
      <c r="M1122" s="269"/>
    </row>
    <row r="1123" spans="2:13" ht="15.75" thickBot="1" x14ac:dyDescent="0.3">
      <c r="B1123" s="5" t="s">
        <v>935</v>
      </c>
      <c r="C1123" s="240" t="s">
        <v>752</v>
      </c>
      <c r="D1123" s="240"/>
      <c r="E1123" s="240" t="s">
        <v>1997</v>
      </c>
      <c r="F1123" s="240"/>
      <c r="G1123" s="240" t="s">
        <v>476</v>
      </c>
      <c r="H1123" s="240"/>
      <c r="I1123" s="281" t="s">
        <v>1998</v>
      </c>
      <c r="J1123" s="282"/>
      <c r="K1123" s="240" t="s">
        <v>1999</v>
      </c>
      <c r="L1123" s="240"/>
      <c r="M1123" s="267"/>
    </row>
    <row r="1125" spans="2:13" ht="23.25" x14ac:dyDescent="0.35">
      <c r="B1125" s="29" t="s">
        <v>334</v>
      </c>
      <c r="C1125" s="229" t="s">
        <v>45</v>
      </c>
      <c r="D1125" s="229"/>
      <c r="E1125" s="229"/>
      <c r="F1125" s="229"/>
      <c r="G1125" s="229"/>
      <c r="H1125" s="229"/>
      <c r="I1125" s="229"/>
      <c r="J1125" s="229"/>
    </row>
    <row r="1126" spans="2:13" ht="18.75" x14ac:dyDescent="0.3">
      <c r="B1126" s="12" t="s">
        <v>335</v>
      </c>
      <c r="C1126" s="195" t="s">
        <v>336</v>
      </c>
      <c r="D1126" s="228" t="s">
        <v>427</v>
      </c>
      <c r="E1126" s="228"/>
      <c r="F1126" s="1" t="s">
        <v>2000</v>
      </c>
      <c r="L1126" s="12" t="s">
        <v>339</v>
      </c>
      <c r="M1126" s="6" t="s">
        <v>44</v>
      </c>
    </row>
    <row r="1128" spans="2:13" x14ac:dyDescent="0.25">
      <c r="B1128" s="2" t="s">
        <v>341</v>
      </c>
      <c r="C1128" s="250" t="s">
        <v>342</v>
      </c>
      <c r="D1128" s="250"/>
      <c r="E1128" s="250" t="s">
        <v>343</v>
      </c>
      <c r="F1128" s="250"/>
      <c r="G1128" s="250" t="s">
        <v>954</v>
      </c>
      <c r="H1128" s="250"/>
      <c r="I1128" s="228" t="s">
        <v>345</v>
      </c>
      <c r="J1128" s="228"/>
      <c r="K1128" s="228"/>
      <c r="L1128" s="228"/>
      <c r="M1128" s="228"/>
    </row>
    <row r="1129" spans="2:13" x14ac:dyDescent="0.25">
      <c r="C1129" s="251"/>
      <c r="D1129" s="251"/>
      <c r="E1129" s="251"/>
      <c r="F1129" s="251"/>
      <c r="G1129" s="251"/>
      <c r="H1129" s="251"/>
      <c r="I1129" s="7"/>
      <c r="J1129" s="7"/>
      <c r="K1129" s="7"/>
      <c r="L1129" s="7"/>
      <c r="M1129" s="7"/>
    </row>
    <row r="1130" spans="2:13" x14ac:dyDescent="0.25">
      <c r="B1130" s="11" t="s">
        <v>2001</v>
      </c>
      <c r="C1130" s="252" t="s">
        <v>2002</v>
      </c>
      <c r="D1130" s="252"/>
      <c r="E1130" s="252" t="s">
        <v>1399</v>
      </c>
      <c r="F1130" s="252"/>
      <c r="G1130" s="252" t="s">
        <v>2003</v>
      </c>
      <c r="H1130" s="252"/>
      <c r="I1130" s="64" t="s">
        <v>2004</v>
      </c>
      <c r="J1130" s="14"/>
      <c r="K1130" s="7"/>
      <c r="L1130" s="7"/>
      <c r="M1130" s="7"/>
    </row>
    <row r="1131" spans="2:13" x14ac:dyDescent="0.25">
      <c r="B1131" s="11"/>
      <c r="C1131" s="188"/>
      <c r="D1131" s="188"/>
      <c r="E1131" s="188"/>
      <c r="F1131" s="188"/>
      <c r="G1131" s="188"/>
      <c r="H1131" s="188"/>
      <c r="I1131" s="14" t="s">
        <v>2005</v>
      </c>
      <c r="J1131" s="14"/>
      <c r="K1131" s="7"/>
      <c r="L1131" s="7"/>
      <c r="M1131" s="7"/>
    </row>
    <row r="1132" spans="2:13" x14ac:dyDescent="0.25">
      <c r="B1132" s="1" t="s">
        <v>2006</v>
      </c>
      <c r="C1132" s="253" t="s">
        <v>2007</v>
      </c>
      <c r="D1132" s="253"/>
      <c r="E1132" s="253" t="s">
        <v>2008</v>
      </c>
      <c r="F1132" s="253"/>
      <c r="G1132" s="253" t="s">
        <v>2009</v>
      </c>
      <c r="H1132" s="253"/>
      <c r="I1132" s="64" t="s">
        <v>2010</v>
      </c>
      <c r="J1132" s="14"/>
      <c r="K1132" s="7"/>
      <c r="L1132" s="7"/>
      <c r="M1132" s="7"/>
    </row>
    <row r="1133" spans="2:13" x14ac:dyDescent="0.25">
      <c r="B1133" s="1"/>
      <c r="C1133" s="253"/>
      <c r="D1133" s="253"/>
      <c r="E1133" s="253"/>
      <c r="F1133" s="253"/>
      <c r="G1133" s="253"/>
      <c r="H1133" s="253"/>
      <c r="I1133" s="14" t="s">
        <v>2011</v>
      </c>
      <c r="J1133" s="14"/>
      <c r="K1133" s="7"/>
      <c r="L1133" s="7"/>
      <c r="M1133" s="7"/>
    </row>
    <row r="1134" spans="2:13" x14ac:dyDescent="0.25">
      <c r="B1134" s="11" t="s">
        <v>2012</v>
      </c>
      <c r="C1134" s="252" t="s">
        <v>2013</v>
      </c>
      <c r="D1134" s="252"/>
      <c r="E1134" s="252" t="s">
        <v>1786</v>
      </c>
      <c r="F1134" s="252"/>
      <c r="G1134" s="252" t="s">
        <v>1787</v>
      </c>
      <c r="H1134" s="252"/>
      <c r="I1134" s="14" t="s">
        <v>2014</v>
      </c>
      <c r="J1134" s="14"/>
      <c r="K1134" s="7"/>
      <c r="L1134" s="7"/>
      <c r="M1134" s="7"/>
    </row>
    <row r="1135" spans="2:13" x14ac:dyDescent="0.25">
      <c r="B1135" s="11" t="s">
        <v>2015</v>
      </c>
      <c r="C1135" s="252"/>
      <c r="D1135" s="252"/>
      <c r="E1135" s="252"/>
      <c r="F1135" s="252"/>
      <c r="G1135" s="252"/>
      <c r="H1135" s="252"/>
      <c r="I1135" s="64" t="s">
        <v>2016</v>
      </c>
      <c r="J1135" s="14"/>
      <c r="K1135" s="7"/>
      <c r="L1135" s="7"/>
      <c r="M1135" s="7"/>
    </row>
    <row r="1136" spans="2:13" x14ac:dyDescent="0.25">
      <c r="B1136" s="1" t="s">
        <v>2017</v>
      </c>
      <c r="C1136" s="253" t="s">
        <v>545</v>
      </c>
      <c r="D1136" s="253"/>
      <c r="E1136" s="253" t="s">
        <v>984</v>
      </c>
      <c r="F1136" s="253"/>
      <c r="G1136" s="253" t="s">
        <v>985</v>
      </c>
      <c r="H1136" s="253"/>
      <c r="I1136" s="64" t="s">
        <v>2018</v>
      </c>
      <c r="J1136" s="14"/>
      <c r="K1136" s="7"/>
      <c r="L1136" s="7"/>
      <c r="M1136" s="7"/>
    </row>
    <row r="1137" spans="2:13" x14ac:dyDescent="0.25">
      <c r="B1137" s="1" t="s">
        <v>2019</v>
      </c>
      <c r="C1137" s="189"/>
      <c r="D1137" s="189"/>
      <c r="E1137" s="189"/>
      <c r="F1137" s="189"/>
      <c r="G1137" s="189"/>
      <c r="H1137" s="189"/>
      <c r="I1137" s="64" t="s">
        <v>2020</v>
      </c>
      <c r="J1137" s="14"/>
      <c r="K1137" s="7"/>
      <c r="L1137" s="7"/>
      <c r="M1137" s="7"/>
    </row>
    <row r="1138" spans="2:13" x14ac:dyDescent="0.25">
      <c r="B1138" s="11" t="s">
        <v>2021</v>
      </c>
      <c r="C1138" s="252" t="s">
        <v>545</v>
      </c>
      <c r="D1138" s="252"/>
      <c r="E1138" s="252" t="s">
        <v>984</v>
      </c>
      <c r="F1138" s="252"/>
      <c r="G1138" s="252" t="s">
        <v>985</v>
      </c>
      <c r="H1138" s="252"/>
      <c r="I1138" s="64" t="s">
        <v>2022</v>
      </c>
      <c r="J1138" s="14"/>
      <c r="K1138" s="7"/>
      <c r="L1138" s="7"/>
      <c r="M1138" s="7"/>
    </row>
    <row r="1139" spans="2:13" x14ac:dyDescent="0.25">
      <c r="B1139" s="11" t="s">
        <v>2023</v>
      </c>
      <c r="C1139" s="188"/>
      <c r="D1139" s="188"/>
      <c r="E1139" s="188"/>
      <c r="F1139" s="188"/>
      <c r="G1139" s="188"/>
      <c r="H1139" s="188"/>
      <c r="I1139" s="14" t="s">
        <v>2024</v>
      </c>
      <c r="J1139" s="14"/>
      <c r="K1139" s="7"/>
      <c r="L1139" s="7"/>
      <c r="M1139" s="7"/>
    </row>
    <row r="1140" spans="2:13" x14ac:dyDescent="0.25">
      <c r="B1140" s="1" t="s">
        <v>2025</v>
      </c>
      <c r="C1140" s="253" t="s">
        <v>399</v>
      </c>
      <c r="D1140" s="253"/>
      <c r="E1140" s="253" t="s">
        <v>400</v>
      </c>
      <c r="F1140" s="253"/>
      <c r="G1140" s="253" t="s">
        <v>1019</v>
      </c>
      <c r="H1140" s="253"/>
      <c r="I1140" s="14" t="s">
        <v>2026</v>
      </c>
      <c r="J1140" s="14"/>
      <c r="K1140" s="7"/>
      <c r="L1140" s="7"/>
      <c r="M1140" s="7"/>
    </row>
    <row r="1141" spans="2:13" x14ac:dyDescent="0.25">
      <c r="B1141" s="1"/>
      <c r="C1141" s="189"/>
      <c r="D1141" s="189"/>
      <c r="E1141" s="189"/>
      <c r="F1141" s="189"/>
      <c r="G1141" s="189"/>
      <c r="H1141" s="189"/>
      <c r="I1141" s="64" t="s">
        <v>2027</v>
      </c>
      <c r="J1141" s="14"/>
      <c r="K1141" s="7"/>
      <c r="L1141" s="7"/>
      <c r="M1141" s="7"/>
    </row>
    <row r="1142" spans="2:13" x14ac:dyDescent="0.25">
      <c r="B1142" s="11" t="s">
        <v>1710</v>
      </c>
      <c r="C1142" s="265" t="s">
        <v>1641</v>
      </c>
      <c r="D1142" s="265"/>
      <c r="E1142" s="265" t="s">
        <v>1823</v>
      </c>
      <c r="F1142" s="265"/>
      <c r="G1142" s="265" t="s">
        <v>395</v>
      </c>
      <c r="H1142" s="265"/>
      <c r="I1142" s="64" t="s">
        <v>2028</v>
      </c>
      <c r="J1142" s="14"/>
      <c r="K1142" s="7"/>
      <c r="L1142" s="7"/>
      <c r="M1142" s="7"/>
    </row>
    <row r="1143" spans="2:13" x14ac:dyDescent="0.25">
      <c r="B1143" s="11"/>
      <c r="C1143" s="188"/>
      <c r="D1143" s="188"/>
      <c r="E1143" s="188"/>
      <c r="F1143" s="188"/>
      <c r="G1143" s="188"/>
      <c r="H1143" s="188"/>
      <c r="I1143" s="64" t="s">
        <v>2029</v>
      </c>
      <c r="J1143" s="14"/>
    </row>
    <row r="1144" spans="2:13" x14ac:dyDescent="0.25">
      <c r="B1144" s="1" t="s">
        <v>2030</v>
      </c>
      <c r="C1144" s="253" t="s">
        <v>1641</v>
      </c>
      <c r="D1144" s="253"/>
      <c r="E1144" s="253" t="s">
        <v>1823</v>
      </c>
      <c r="F1144" s="253"/>
      <c r="G1144" s="253" t="s">
        <v>395</v>
      </c>
      <c r="H1144" s="253"/>
      <c r="I1144" s="64" t="s">
        <v>2031</v>
      </c>
      <c r="J1144" s="14"/>
    </row>
    <row r="1145" spans="2:13" x14ac:dyDescent="0.25">
      <c r="B1145" s="1"/>
      <c r="C1145" s="253"/>
      <c r="D1145" s="253"/>
      <c r="E1145" s="253"/>
      <c r="F1145" s="253"/>
      <c r="G1145" s="253"/>
      <c r="H1145" s="253"/>
      <c r="I1145" s="64" t="s">
        <v>2032</v>
      </c>
      <c r="J1145" s="14"/>
    </row>
    <row r="1146" spans="2:13" x14ac:dyDescent="0.25">
      <c r="B1146" s="11" t="s">
        <v>518</v>
      </c>
      <c r="C1146" s="252" t="s">
        <v>1296</v>
      </c>
      <c r="D1146" s="252"/>
      <c r="E1146" s="252" t="s">
        <v>2033</v>
      </c>
      <c r="F1146" s="252"/>
      <c r="G1146" s="252" t="s">
        <v>1127</v>
      </c>
      <c r="H1146" s="252"/>
      <c r="I1146" s="64" t="s">
        <v>2034</v>
      </c>
      <c r="J1146" s="14"/>
    </row>
    <row r="1147" spans="2:13" x14ac:dyDescent="0.25">
      <c r="B1147" s="11"/>
      <c r="C1147" s="188"/>
      <c r="D1147" s="188"/>
      <c r="E1147" s="188"/>
      <c r="F1147" s="188"/>
      <c r="G1147" s="188"/>
      <c r="H1147" s="188"/>
      <c r="I1147" s="64" t="s">
        <v>2035</v>
      </c>
      <c r="J1147" s="14"/>
    </row>
    <row r="1148" spans="2:13" x14ac:dyDescent="0.25">
      <c r="B1148" s="1" t="s">
        <v>677</v>
      </c>
      <c r="C1148" s="253" t="s">
        <v>1209</v>
      </c>
      <c r="D1148" s="253"/>
      <c r="E1148" s="253" t="s">
        <v>1711</v>
      </c>
      <c r="F1148" s="253"/>
      <c r="G1148" s="253" t="s">
        <v>2036</v>
      </c>
      <c r="H1148" s="253"/>
      <c r="I1148" s="64"/>
      <c r="J1148" s="14"/>
    </row>
    <row r="1149" spans="2:13" ht="15.75" thickBot="1" x14ac:dyDescent="0.3">
      <c r="B1149" s="1"/>
      <c r="C1149" s="189"/>
      <c r="D1149" s="189"/>
      <c r="E1149" s="189"/>
      <c r="F1149" s="189"/>
      <c r="G1149" s="189"/>
      <c r="H1149" s="189"/>
      <c r="I1149" s="64"/>
      <c r="J1149" s="14"/>
    </row>
    <row r="1150" spans="2:13" x14ac:dyDescent="0.25">
      <c r="B1150" s="274" t="s">
        <v>401</v>
      </c>
      <c r="C1150" s="275"/>
      <c r="D1150" s="275"/>
      <c r="E1150" s="275"/>
      <c r="F1150" s="275"/>
      <c r="G1150" s="275"/>
      <c r="H1150" s="275"/>
      <c r="I1150" s="275"/>
      <c r="J1150" s="275"/>
      <c r="K1150" s="275"/>
      <c r="L1150" s="275"/>
      <c r="M1150" s="276"/>
    </row>
    <row r="1151" spans="2:13" x14ac:dyDescent="0.25">
      <c r="B1151" s="3" t="s">
        <v>402</v>
      </c>
      <c r="C1151" s="232" t="s">
        <v>403</v>
      </c>
      <c r="D1151" s="232"/>
      <c r="E1151" s="233" t="s">
        <v>1241</v>
      </c>
      <c r="F1151" s="233"/>
      <c r="G1151" s="232" t="s">
        <v>405</v>
      </c>
      <c r="H1151" s="232"/>
      <c r="I1151" s="314" t="s">
        <v>404</v>
      </c>
      <c r="J1151" s="315"/>
      <c r="K1151" s="234" t="s">
        <v>407</v>
      </c>
      <c r="L1151" s="235"/>
      <c r="M1151" s="236"/>
    </row>
    <row r="1152" spans="2:13" ht="15.75" thickBot="1" x14ac:dyDescent="0.3">
      <c r="B1152" s="5" t="s">
        <v>2037</v>
      </c>
      <c r="C1152" s="237" t="s">
        <v>2038</v>
      </c>
      <c r="D1152" s="238"/>
      <c r="E1152" s="239">
        <v>1.25</v>
      </c>
      <c r="F1152" s="238"/>
      <c r="G1152" s="240"/>
      <c r="H1152" s="240"/>
      <c r="I1152" s="239">
        <v>0.2</v>
      </c>
      <c r="J1152" s="238"/>
      <c r="K1152" s="239"/>
      <c r="L1152" s="237"/>
      <c r="M1152" s="308"/>
    </row>
    <row r="1153" spans="2:17" x14ac:dyDescent="0.25">
      <c r="B1153" s="1"/>
      <c r="C1153" s="1"/>
      <c r="D1153" s="1"/>
      <c r="E1153" s="1"/>
      <c r="F1153" s="1"/>
      <c r="G1153" s="1"/>
      <c r="H1153" s="1"/>
    </row>
    <row r="1154" spans="2:17" x14ac:dyDescent="0.25">
      <c r="B1154" s="217" t="s">
        <v>408</v>
      </c>
      <c r="C1154" s="218"/>
      <c r="D1154" s="218"/>
      <c r="E1154" s="218"/>
      <c r="F1154" s="218"/>
      <c r="G1154" s="218"/>
      <c r="H1154" s="218"/>
      <c r="I1154" s="218"/>
      <c r="J1154" s="218"/>
      <c r="K1154" s="218"/>
      <c r="L1154" s="218"/>
      <c r="M1154" s="219"/>
    </row>
    <row r="1155" spans="2:17" x14ac:dyDescent="0.25">
      <c r="B1155" s="122" t="s">
        <v>2039</v>
      </c>
      <c r="C1155" s="220" t="s">
        <v>2040</v>
      </c>
      <c r="D1155" s="220"/>
      <c r="E1155" s="221" t="s">
        <v>2041</v>
      </c>
      <c r="F1155" s="221"/>
      <c r="G1155" s="221" t="s">
        <v>2042</v>
      </c>
      <c r="H1155" s="221"/>
      <c r="I1155" s="220" t="s">
        <v>2043</v>
      </c>
      <c r="J1155" s="220"/>
      <c r="K1155" s="220" t="s">
        <v>2044</v>
      </c>
      <c r="L1155" s="220"/>
      <c r="M1155" s="222"/>
    </row>
    <row r="1156" spans="2:17" x14ac:dyDescent="0.25">
      <c r="B1156" s="123" t="s">
        <v>2045</v>
      </c>
      <c r="C1156" s="225" t="s">
        <v>2046</v>
      </c>
      <c r="D1156" s="226"/>
      <c r="E1156" s="223" t="s">
        <v>2047</v>
      </c>
      <c r="F1156" s="223"/>
      <c r="G1156" s="223" t="s">
        <v>537</v>
      </c>
      <c r="H1156" s="223"/>
      <c r="I1156" s="227" t="s">
        <v>2048</v>
      </c>
      <c r="J1156" s="227"/>
      <c r="K1156" s="223" t="s">
        <v>2049</v>
      </c>
      <c r="L1156" s="223"/>
      <c r="M1156" s="224"/>
    </row>
    <row r="1157" spans="2:17" ht="15.75" customHeight="1" x14ac:dyDescent="0.25">
      <c r="B1157" s="123" t="s">
        <v>2050</v>
      </c>
      <c r="C1157" s="225" t="s">
        <v>2051</v>
      </c>
      <c r="D1157" s="226"/>
      <c r="E1157" s="227" t="s">
        <v>2052</v>
      </c>
      <c r="F1157" s="227"/>
      <c r="G1157" s="223" t="s">
        <v>2053</v>
      </c>
      <c r="H1157" s="223"/>
      <c r="I1157" s="223" t="s">
        <v>2054</v>
      </c>
      <c r="J1157" s="223"/>
      <c r="K1157" s="223" t="s">
        <v>2055</v>
      </c>
      <c r="L1157" s="223"/>
      <c r="M1157" s="224"/>
    </row>
    <row r="1159" spans="2:17" ht="23.25" x14ac:dyDescent="0.35">
      <c r="B1159" s="29" t="s">
        <v>334</v>
      </c>
      <c r="C1159" s="229" t="s">
        <v>60</v>
      </c>
      <c r="D1159" s="229"/>
      <c r="E1159" s="229"/>
      <c r="F1159" s="229"/>
      <c r="G1159" s="229"/>
      <c r="H1159" s="229"/>
      <c r="I1159" s="229"/>
      <c r="J1159" s="229"/>
    </row>
    <row r="1160" spans="2:17" ht="18.75" x14ac:dyDescent="0.3">
      <c r="B1160" s="12" t="s">
        <v>335</v>
      </c>
      <c r="C1160" s="195" t="s">
        <v>336</v>
      </c>
      <c r="D1160" s="228" t="s">
        <v>427</v>
      </c>
      <c r="E1160" s="228"/>
      <c r="F1160" s="1" t="s">
        <v>2056</v>
      </c>
      <c r="L1160" s="12" t="s">
        <v>339</v>
      </c>
      <c r="M1160" s="6" t="s">
        <v>59</v>
      </c>
    </row>
    <row r="1162" spans="2:17" x14ac:dyDescent="0.25">
      <c r="B1162" s="2" t="s">
        <v>341</v>
      </c>
      <c r="C1162" s="250" t="s">
        <v>342</v>
      </c>
      <c r="D1162" s="250"/>
      <c r="E1162" s="250" t="s">
        <v>343</v>
      </c>
      <c r="F1162" s="250"/>
      <c r="G1162" s="250" t="s">
        <v>954</v>
      </c>
      <c r="H1162" s="250"/>
      <c r="I1162" s="228" t="s">
        <v>345</v>
      </c>
      <c r="J1162" s="228"/>
      <c r="K1162" s="228"/>
      <c r="L1162" s="228"/>
      <c r="M1162" s="228"/>
    </row>
    <row r="1163" spans="2:17" x14ac:dyDescent="0.25">
      <c r="C1163" s="251"/>
      <c r="D1163" s="251"/>
      <c r="E1163" s="251"/>
      <c r="F1163" s="251"/>
      <c r="G1163" s="251"/>
      <c r="H1163" s="251"/>
      <c r="I1163" s="7"/>
      <c r="J1163" s="7"/>
      <c r="K1163" s="7"/>
      <c r="L1163" s="7"/>
      <c r="M1163" s="7"/>
    </row>
    <row r="1164" spans="2:17" ht="14.45" customHeight="1" x14ac:dyDescent="0.25">
      <c r="B1164" s="11" t="s">
        <v>955</v>
      </c>
      <c r="C1164" s="230" t="s">
        <v>2057</v>
      </c>
      <c r="D1164" s="230"/>
      <c r="E1164" s="230" t="s">
        <v>2058</v>
      </c>
      <c r="F1164" s="230"/>
      <c r="G1164" s="230" t="s">
        <v>2059</v>
      </c>
      <c r="H1164" s="230"/>
      <c r="I1164" s="14" t="s">
        <v>2060</v>
      </c>
      <c r="J1164" s="14"/>
      <c r="K1164" s="7"/>
      <c r="L1164" s="7"/>
      <c r="M1164" s="7"/>
      <c r="O1164" s="66"/>
    </row>
    <row r="1165" spans="2:17" ht="14.45" customHeight="1" x14ac:dyDescent="0.25">
      <c r="B1165" s="11"/>
      <c r="C1165" s="185"/>
      <c r="D1165" s="185"/>
      <c r="E1165" s="185"/>
      <c r="F1165" s="185"/>
      <c r="G1165" s="185"/>
      <c r="H1165" s="185"/>
      <c r="I1165" s="14" t="s">
        <v>2061</v>
      </c>
      <c r="J1165" s="14"/>
      <c r="K1165" s="7"/>
      <c r="L1165" s="7"/>
      <c r="M1165" s="7"/>
      <c r="Q1165" s="66"/>
    </row>
    <row r="1166" spans="2:17" ht="14.45" customHeight="1" x14ac:dyDescent="0.25">
      <c r="B1166" s="1" t="s">
        <v>1536</v>
      </c>
      <c r="C1166" s="283" t="s">
        <v>2062</v>
      </c>
      <c r="D1166" s="283"/>
      <c r="E1166" s="283" t="s">
        <v>2063</v>
      </c>
      <c r="F1166" s="283"/>
      <c r="G1166" s="283" t="s">
        <v>2063</v>
      </c>
      <c r="H1166" s="283"/>
      <c r="I1166" s="14" t="s">
        <v>2064</v>
      </c>
      <c r="J1166" s="14"/>
      <c r="K1166" s="7"/>
      <c r="L1166" s="7"/>
      <c r="M1166" s="7"/>
    </row>
    <row r="1167" spans="2:17" x14ac:dyDescent="0.25">
      <c r="B1167" s="1"/>
      <c r="C1167" s="283"/>
      <c r="D1167" s="283"/>
      <c r="E1167" s="283"/>
      <c r="F1167" s="283"/>
      <c r="G1167" s="283"/>
      <c r="H1167" s="283"/>
      <c r="I1167" s="14" t="s">
        <v>2065</v>
      </c>
      <c r="J1167" s="14"/>
      <c r="K1167" s="7"/>
      <c r="L1167" s="7"/>
      <c r="M1167" s="7"/>
    </row>
    <row r="1168" spans="2:17" x14ac:dyDescent="0.25">
      <c r="B1168" s="11" t="s">
        <v>2066</v>
      </c>
      <c r="C1168" s="230" t="s">
        <v>2067</v>
      </c>
      <c r="D1168" s="230"/>
      <c r="E1168" s="230" t="s">
        <v>2068</v>
      </c>
      <c r="F1168" s="230"/>
      <c r="G1168" s="230" t="s">
        <v>1892</v>
      </c>
      <c r="H1168" s="230"/>
      <c r="I1168" s="14" t="s">
        <v>2069</v>
      </c>
      <c r="J1168" s="14"/>
      <c r="K1168" s="7"/>
      <c r="L1168" s="7"/>
      <c r="M1168" s="7"/>
    </row>
    <row r="1169" spans="2:13" x14ac:dyDescent="0.25">
      <c r="B1169" s="11"/>
      <c r="C1169" s="230"/>
      <c r="D1169" s="230"/>
      <c r="E1169" s="230"/>
      <c r="F1169" s="230"/>
      <c r="G1169" s="230"/>
      <c r="H1169" s="230"/>
      <c r="I1169" s="14" t="s">
        <v>2070</v>
      </c>
      <c r="J1169" s="14"/>
      <c r="K1169" s="7"/>
      <c r="L1169" s="7"/>
      <c r="M1169" s="7"/>
    </row>
    <row r="1170" spans="2:13" x14ac:dyDescent="0.25">
      <c r="B1170" s="1" t="s">
        <v>2071</v>
      </c>
      <c r="C1170" s="283" t="s">
        <v>2072</v>
      </c>
      <c r="D1170" s="283"/>
      <c r="E1170" s="283" t="s">
        <v>1551</v>
      </c>
      <c r="F1170" s="283"/>
      <c r="G1170" s="283" t="s">
        <v>2073</v>
      </c>
      <c r="H1170" s="283"/>
      <c r="I1170" s="14" t="s">
        <v>979</v>
      </c>
      <c r="J1170" s="14"/>
      <c r="K1170" s="7"/>
      <c r="L1170" s="7"/>
      <c r="M1170" s="7"/>
    </row>
    <row r="1171" spans="2:13" x14ac:dyDescent="0.25">
      <c r="B1171" s="1"/>
      <c r="C1171" s="195"/>
      <c r="D1171" s="195"/>
      <c r="E1171" s="195"/>
      <c r="F1171" s="195"/>
      <c r="G1171" s="195"/>
      <c r="H1171" s="195"/>
      <c r="I1171" s="14" t="s">
        <v>2074</v>
      </c>
      <c r="J1171" s="14"/>
      <c r="K1171" s="7"/>
      <c r="L1171" s="7"/>
      <c r="M1171" s="7"/>
    </row>
    <row r="1172" spans="2:13" x14ac:dyDescent="0.25">
      <c r="B1172" s="11" t="s">
        <v>2075</v>
      </c>
      <c r="C1172" s="230" t="s">
        <v>2076</v>
      </c>
      <c r="D1172" s="230"/>
      <c r="E1172" s="230" t="s">
        <v>1833</v>
      </c>
      <c r="F1172" s="230"/>
      <c r="G1172" s="230" t="s">
        <v>1798</v>
      </c>
      <c r="H1172" s="230"/>
      <c r="I1172" s="14" t="s">
        <v>2077</v>
      </c>
      <c r="J1172" s="14"/>
      <c r="K1172" s="7"/>
      <c r="L1172" s="7"/>
      <c r="M1172" s="7"/>
    </row>
    <row r="1173" spans="2:13" x14ac:dyDescent="0.25">
      <c r="B1173" s="11"/>
      <c r="C1173" s="185"/>
      <c r="D1173" s="185"/>
      <c r="E1173" s="185"/>
      <c r="F1173" s="185"/>
      <c r="G1173" s="185"/>
      <c r="H1173" s="185"/>
      <c r="I1173" s="14" t="s">
        <v>2078</v>
      </c>
      <c r="J1173" s="14"/>
      <c r="K1173" s="7"/>
      <c r="L1173" s="7"/>
      <c r="M1173" s="7"/>
    </row>
    <row r="1174" spans="2:13" x14ac:dyDescent="0.25">
      <c r="B1174" s="1" t="s">
        <v>2079</v>
      </c>
      <c r="C1174" s="283" t="s">
        <v>1892</v>
      </c>
      <c r="D1174" s="283"/>
      <c r="E1174" s="283" t="s">
        <v>2080</v>
      </c>
      <c r="F1174" s="283"/>
      <c r="G1174" s="283" t="s">
        <v>1833</v>
      </c>
      <c r="H1174" s="283"/>
      <c r="I1174" s="14" t="s">
        <v>2081</v>
      </c>
      <c r="J1174" s="14"/>
      <c r="K1174" s="7"/>
      <c r="L1174" s="7"/>
      <c r="M1174" s="7"/>
    </row>
    <row r="1175" spans="2:13" x14ac:dyDescent="0.25">
      <c r="B1175" s="1" t="s">
        <v>2082</v>
      </c>
      <c r="C1175" s="195"/>
      <c r="D1175" s="195"/>
      <c r="E1175" s="195"/>
      <c r="F1175" s="195"/>
      <c r="G1175" s="195"/>
      <c r="H1175" s="195"/>
      <c r="I1175" t="s">
        <v>2083</v>
      </c>
      <c r="J1175" s="14"/>
      <c r="K1175" s="7"/>
      <c r="L1175" s="7"/>
      <c r="M1175" s="7"/>
    </row>
    <row r="1176" spans="2:13" x14ac:dyDescent="0.25">
      <c r="B1176" s="11" t="s">
        <v>2084</v>
      </c>
      <c r="C1176" s="230" t="s">
        <v>1156</v>
      </c>
      <c r="D1176" s="230"/>
      <c r="E1176" s="230" t="s">
        <v>1157</v>
      </c>
      <c r="F1176" s="230"/>
      <c r="G1176" s="230" t="s">
        <v>1158</v>
      </c>
      <c r="H1176" s="230"/>
      <c r="I1176" s="14"/>
      <c r="J1176" s="14"/>
      <c r="K1176" s="7"/>
      <c r="L1176" s="7"/>
      <c r="M1176" s="7"/>
    </row>
    <row r="1177" spans="2:13" ht="15.75" thickBot="1" x14ac:dyDescent="0.3">
      <c r="B1177" s="8"/>
      <c r="C1177" s="185"/>
      <c r="D1177" s="185"/>
      <c r="E1177" s="185"/>
      <c r="F1177" s="185"/>
      <c r="G1177" s="185"/>
      <c r="H1177" s="185"/>
      <c r="I1177" s="64"/>
      <c r="J1177" s="14"/>
      <c r="K1177" s="7"/>
      <c r="L1177" s="7"/>
      <c r="M1177" s="7"/>
    </row>
    <row r="1178" spans="2:13" x14ac:dyDescent="0.25">
      <c r="B1178" s="274"/>
      <c r="C1178" s="275"/>
      <c r="D1178" s="275"/>
      <c r="E1178" s="275"/>
      <c r="F1178" s="275"/>
      <c r="G1178" s="275"/>
      <c r="H1178" s="275"/>
      <c r="I1178" s="275"/>
      <c r="J1178" s="275"/>
      <c r="K1178" s="275"/>
      <c r="L1178" s="275"/>
      <c r="M1178" s="276"/>
    </row>
    <row r="1179" spans="2:13" x14ac:dyDescent="0.25">
      <c r="B1179" s="3" t="s">
        <v>402</v>
      </c>
      <c r="C1179" s="232" t="s">
        <v>403</v>
      </c>
      <c r="D1179" s="232"/>
      <c r="E1179" s="232" t="s">
        <v>467</v>
      </c>
      <c r="F1179" s="232"/>
      <c r="G1179" s="232" t="s">
        <v>405</v>
      </c>
      <c r="H1179" s="232"/>
      <c r="I1179" s="234" t="s">
        <v>1991</v>
      </c>
      <c r="J1179" s="277"/>
      <c r="K1179" s="234" t="s">
        <v>407</v>
      </c>
      <c r="L1179" s="235"/>
      <c r="M1179" s="236"/>
    </row>
    <row r="1180" spans="2:13" ht="15.75" thickBot="1" x14ac:dyDescent="0.3">
      <c r="B1180" s="5">
        <v>3.2</v>
      </c>
      <c r="C1180" s="237">
        <v>2</v>
      </c>
      <c r="D1180" s="238"/>
      <c r="E1180" s="239">
        <v>0.05</v>
      </c>
      <c r="F1180" s="238"/>
      <c r="G1180" s="240"/>
      <c r="H1180" s="240"/>
      <c r="I1180" s="239"/>
      <c r="J1180" s="238"/>
      <c r="K1180" s="239"/>
      <c r="L1180" s="237"/>
      <c r="M1180" s="308"/>
    </row>
    <row r="1181" spans="2:13" ht="15.75" thickBot="1" x14ac:dyDescent="0.3">
      <c r="B1181" s="1"/>
      <c r="C1181" s="1"/>
      <c r="D1181" s="1"/>
      <c r="E1181" s="1"/>
      <c r="F1181" s="1"/>
      <c r="G1181" s="1"/>
      <c r="H1181" s="1"/>
    </row>
    <row r="1182" spans="2:13" x14ac:dyDescent="0.25">
      <c r="B1182" s="274" t="s">
        <v>408</v>
      </c>
      <c r="C1182" s="275"/>
      <c r="D1182" s="275"/>
      <c r="E1182" s="275"/>
      <c r="F1182" s="275"/>
      <c r="G1182" s="275"/>
      <c r="H1182" s="275"/>
      <c r="I1182" s="275"/>
      <c r="J1182" s="275"/>
      <c r="K1182" s="275"/>
      <c r="L1182" s="275"/>
      <c r="M1182" s="276"/>
    </row>
    <row r="1183" spans="2:13" x14ac:dyDescent="0.25">
      <c r="B1183" s="3" t="s">
        <v>2085</v>
      </c>
      <c r="C1183" s="232" t="s">
        <v>2086</v>
      </c>
      <c r="D1183" s="232"/>
      <c r="E1183" s="268" t="s">
        <v>2087</v>
      </c>
      <c r="F1183" s="268"/>
      <c r="G1183" s="233" t="s">
        <v>2088</v>
      </c>
      <c r="H1183" s="233"/>
      <c r="I1183" s="234" t="s">
        <v>2089</v>
      </c>
      <c r="J1183" s="277"/>
      <c r="K1183" s="232" t="s">
        <v>2090</v>
      </c>
      <c r="L1183" s="232"/>
      <c r="M1183" s="269"/>
    </row>
    <row r="1184" spans="2:13" ht="15.75" thickBot="1" x14ac:dyDescent="0.3">
      <c r="B1184" s="5" t="s">
        <v>2091</v>
      </c>
      <c r="C1184" s="240" t="s">
        <v>2092</v>
      </c>
      <c r="D1184" s="240"/>
      <c r="E1184" s="240" t="s">
        <v>1997</v>
      </c>
      <c r="F1184" s="240"/>
      <c r="G1184" s="240" t="s">
        <v>2093</v>
      </c>
      <c r="H1184" s="240"/>
      <c r="I1184" s="281" t="s">
        <v>2094</v>
      </c>
      <c r="J1184" s="282"/>
      <c r="K1184" s="240" t="s">
        <v>2095</v>
      </c>
      <c r="L1184" s="240"/>
      <c r="M1184" s="267"/>
    </row>
    <row r="1186" spans="2:13" ht="23.25" x14ac:dyDescent="0.35">
      <c r="B1186" s="29" t="s">
        <v>334</v>
      </c>
      <c r="C1186" s="229" t="s">
        <v>70</v>
      </c>
      <c r="D1186" s="229"/>
      <c r="E1186" s="229"/>
      <c r="F1186" s="229"/>
      <c r="G1186" s="229"/>
      <c r="H1186" s="229"/>
      <c r="I1186" s="229"/>
      <c r="J1186" s="229"/>
    </row>
    <row r="1187" spans="2:13" ht="18.75" x14ac:dyDescent="0.3">
      <c r="B1187" s="12" t="s">
        <v>335</v>
      </c>
      <c r="C1187" s="195" t="s">
        <v>336</v>
      </c>
      <c r="D1187" s="228" t="s">
        <v>427</v>
      </c>
      <c r="E1187" s="228"/>
      <c r="F1187" s="1" t="s">
        <v>2096</v>
      </c>
      <c r="L1187" s="12" t="s">
        <v>339</v>
      </c>
      <c r="M1187" s="6" t="s">
        <v>69</v>
      </c>
    </row>
    <row r="1189" spans="2:13" x14ac:dyDescent="0.25">
      <c r="B1189" s="2" t="s">
        <v>341</v>
      </c>
      <c r="C1189" s="250" t="s">
        <v>342</v>
      </c>
      <c r="D1189" s="250"/>
      <c r="E1189" s="250" t="s">
        <v>343</v>
      </c>
      <c r="F1189" s="250"/>
      <c r="G1189" s="250" t="s">
        <v>954</v>
      </c>
      <c r="H1189" s="250"/>
      <c r="I1189" s="228" t="s">
        <v>345</v>
      </c>
      <c r="J1189" s="228"/>
      <c r="K1189" s="228"/>
      <c r="L1189" s="228"/>
      <c r="M1189" s="228"/>
    </row>
    <row r="1190" spans="2:13" x14ac:dyDescent="0.25">
      <c r="C1190" s="251"/>
      <c r="D1190" s="251"/>
      <c r="E1190" s="251"/>
      <c r="F1190" s="251"/>
      <c r="G1190" s="251"/>
      <c r="H1190" s="251"/>
      <c r="I1190" s="7"/>
      <c r="J1190" s="7"/>
      <c r="K1190" s="7"/>
      <c r="L1190" s="7"/>
      <c r="M1190" s="7"/>
    </row>
    <row r="1191" spans="2:13" x14ac:dyDescent="0.25">
      <c r="B1191" s="11" t="s">
        <v>1458</v>
      </c>
      <c r="C1191" s="230" t="s">
        <v>1641</v>
      </c>
      <c r="D1191" s="230"/>
      <c r="E1191" s="230" t="s">
        <v>1823</v>
      </c>
      <c r="F1191" s="230"/>
      <c r="G1191" s="230" t="s">
        <v>395</v>
      </c>
      <c r="H1191" s="230"/>
      <c r="I1191" s="14" t="s">
        <v>2060</v>
      </c>
      <c r="J1191" s="14"/>
      <c r="K1191" s="7"/>
      <c r="L1191" s="7"/>
      <c r="M1191" s="7"/>
    </row>
    <row r="1192" spans="2:13" x14ac:dyDescent="0.25">
      <c r="B1192" s="11"/>
      <c r="C1192" s="185"/>
      <c r="D1192" s="185"/>
      <c r="E1192" s="185"/>
      <c r="F1192" s="185"/>
      <c r="G1192" s="185"/>
      <c r="H1192" s="185"/>
      <c r="I1192" s="14" t="s">
        <v>2061</v>
      </c>
      <c r="J1192" s="14"/>
      <c r="K1192" s="7"/>
      <c r="L1192" s="7"/>
      <c r="M1192" s="7"/>
    </row>
    <row r="1193" spans="2:13" x14ac:dyDescent="0.25">
      <c r="B1193" s="1" t="s">
        <v>2097</v>
      </c>
      <c r="C1193" s="283" t="s">
        <v>2013</v>
      </c>
      <c r="D1193" s="283"/>
      <c r="E1193" s="283" t="s">
        <v>1786</v>
      </c>
      <c r="F1193" s="283"/>
      <c r="G1193" s="283" t="s">
        <v>1787</v>
      </c>
      <c r="H1193" s="283"/>
      <c r="I1193" s="14" t="s">
        <v>2098</v>
      </c>
      <c r="J1193" s="14"/>
      <c r="K1193" s="7"/>
      <c r="L1193" s="7"/>
      <c r="M1193" s="7"/>
    </row>
    <row r="1194" spans="2:13" x14ac:dyDescent="0.25">
      <c r="B1194" s="1"/>
      <c r="C1194" s="283"/>
      <c r="D1194" s="283"/>
      <c r="E1194" s="283"/>
      <c r="F1194" s="283"/>
      <c r="G1194" s="283"/>
      <c r="H1194" s="283"/>
      <c r="I1194" s="14" t="s">
        <v>2099</v>
      </c>
      <c r="J1194" s="14"/>
      <c r="K1194" s="7"/>
      <c r="L1194" s="7"/>
      <c r="M1194" s="7"/>
    </row>
    <row r="1195" spans="2:13" x14ac:dyDescent="0.25">
      <c r="B1195" s="11" t="s">
        <v>1512</v>
      </c>
      <c r="C1195" s="230" t="s">
        <v>678</v>
      </c>
      <c r="D1195" s="230"/>
      <c r="E1195" s="230" t="s">
        <v>390</v>
      </c>
      <c r="F1195" s="230"/>
      <c r="G1195" s="230" t="s">
        <v>1326</v>
      </c>
      <c r="H1195" s="230"/>
      <c r="I1195" s="14" t="s">
        <v>2100</v>
      </c>
      <c r="J1195" s="14"/>
      <c r="K1195" s="7"/>
      <c r="L1195" s="7"/>
      <c r="M1195" s="7"/>
    </row>
    <row r="1196" spans="2:13" x14ac:dyDescent="0.25">
      <c r="B1196" s="11"/>
      <c r="C1196" s="230"/>
      <c r="D1196" s="230"/>
      <c r="E1196" s="230"/>
      <c r="F1196" s="230"/>
      <c r="G1196" s="230"/>
      <c r="H1196" s="230"/>
      <c r="I1196" s="14" t="s">
        <v>2101</v>
      </c>
      <c r="J1196" s="14"/>
      <c r="K1196" s="7"/>
      <c r="L1196" s="7"/>
      <c r="M1196" s="7"/>
    </row>
    <row r="1197" spans="2:13" x14ac:dyDescent="0.25">
      <c r="B1197" s="1" t="s">
        <v>2102</v>
      </c>
      <c r="C1197" s="283" t="s">
        <v>2103</v>
      </c>
      <c r="D1197" s="283"/>
      <c r="E1197" s="283" t="s">
        <v>2104</v>
      </c>
      <c r="F1197" s="283"/>
      <c r="G1197" s="283" t="s">
        <v>2105</v>
      </c>
      <c r="H1197" s="283"/>
      <c r="I1197" s="14" t="s">
        <v>2106</v>
      </c>
      <c r="J1197" s="14"/>
      <c r="K1197" s="7"/>
      <c r="L1197" s="7"/>
      <c r="M1197" s="7"/>
    </row>
    <row r="1198" spans="2:13" x14ac:dyDescent="0.25">
      <c r="B1198" s="1" t="s">
        <v>1598</v>
      </c>
      <c r="C1198" s="195"/>
      <c r="D1198" s="195"/>
      <c r="E1198" s="195"/>
      <c r="F1198" s="195"/>
      <c r="G1198" s="195"/>
      <c r="H1198" s="195"/>
      <c r="I1198" s="14" t="s">
        <v>2107</v>
      </c>
      <c r="J1198" s="14"/>
      <c r="K1198" s="7"/>
      <c r="L1198" s="7"/>
      <c r="M1198" s="7"/>
    </row>
    <row r="1199" spans="2:13" x14ac:dyDescent="0.25">
      <c r="B1199" s="11" t="s">
        <v>2108</v>
      </c>
      <c r="C1199" s="230" t="s">
        <v>1641</v>
      </c>
      <c r="D1199" s="230"/>
      <c r="E1199" s="230" t="s">
        <v>1823</v>
      </c>
      <c r="F1199" s="230"/>
      <c r="G1199" s="230" t="s">
        <v>395</v>
      </c>
      <c r="H1199" s="230"/>
      <c r="I1199" s="14" t="s">
        <v>2109</v>
      </c>
      <c r="J1199" s="14"/>
      <c r="K1199" s="7"/>
      <c r="L1199" s="7"/>
      <c r="M1199" s="7"/>
    </row>
    <row r="1200" spans="2:13" x14ac:dyDescent="0.25">
      <c r="B1200" s="11"/>
      <c r="C1200" s="185"/>
      <c r="D1200" s="185"/>
      <c r="E1200" s="185"/>
      <c r="F1200" s="185"/>
      <c r="G1200" s="185"/>
      <c r="H1200" s="185"/>
      <c r="I1200" s="14" t="s">
        <v>2110</v>
      </c>
      <c r="J1200" s="14"/>
      <c r="K1200" s="7"/>
      <c r="L1200" s="7"/>
      <c r="M1200" s="7"/>
    </row>
    <row r="1201" spans="2:13" x14ac:dyDescent="0.25">
      <c r="B1201" s="1" t="s">
        <v>2111</v>
      </c>
      <c r="C1201" s="283" t="s">
        <v>390</v>
      </c>
      <c r="D1201" s="283"/>
      <c r="E1201" s="253" t="s">
        <v>2112</v>
      </c>
      <c r="F1201" s="253"/>
      <c r="G1201" s="283" t="s">
        <v>391</v>
      </c>
      <c r="H1201" s="283"/>
      <c r="I1201" s="14" t="s">
        <v>2113</v>
      </c>
      <c r="J1201" s="14"/>
      <c r="K1201" s="7"/>
      <c r="L1201" s="7"/>
      <c r="M1201" s="7"/>
    </row>
    <row r="1202" spans="2:13" x14ac:dyDescent="0.25">
      <c r="B1202" s="1"/>
      <c r="C1202" s="195"/>
      <c r="D1202" s="195"/>
      <c r="E1202" s="195"/>
      <c r="F1202" s="195"/>
      <c r="G1202" s="195"/>
      <c r="H1202" s="195"/>
      <c r="I1202" s="14" t="s">
        <v>2114</v>
      </c>
      <c r="J1202" s="14"/>
      <c r="K1202" s="7"/>
      <c r="L1202" s="7"/>
      <c r="M1202" s="7"/>
    </row>
    <row r="1203" spans="2:13" x14ac:dyDescent="0.25">
      <c r="B1203" s="11" t="s">
        <v>454</v>
      </c>
      <c r="C1203" s="230" t="s">
        <v>1100</v>
      </c>
      <c r="D1203" s="230"/>
      <c r="E1203" s="230" t="s">
        <v>390</v>
      </c>
      <c r="F1203" s="230"/>
      <c r="G1203" s="230" t="s">
        <v>1326</v>
      </c>
      <c r="H1203" s="230"/>
      <c r="I1203" s="14" t="s">
        <v>2115</v>
      </c>
      <c r="J1203" s="14"/>
      <c r="K1203" s="7"/>
      <c r="L1203" s="7"/>
      <c r="M1203" s="7"/>
    </row>
    <row r="1204" spans="2:13" x14ac:dyDescent="0.25">
      <c r="B1204" s="8"/>
      <c r="C1204" s="185"/>
      <c r="D1204" s="185"/>
      <c r="E1204" s="185"/>
      <c r="F1204" s="185"/>
      <c r="G1204" s="185"/>
      <c r="H1204" s="185"/>
      <c r="I1204" s="64" t="s">
        <v>2116</v>
      </c>
      <c r="J1204" s="14"/>
      <c r="K1204" s="7"/>
      <c r="L1204" s="7"/>
      <c r="M1204" s="7"/>
    </row>
    <row r="1205" spans="2:13" x14ac:dyDescent="0.25">
      <c r="B1205" s="1" t="s">
        <v>2117</v>
      </c>
      <c r="C1205" s="283" t="s">
        <v>1100</v>
      </c>
      <c r="D1205" s="283"/>
      <c r="E1205" s="283" t="s">
        <v>390</v>
      </c>
      <c r="F1205" s="283"/>
      <c r="G1205" s="283" t="s">
        <v>1326</v>
      </c>
      <c r="H1205" s="283"/>
      <c r="I1205" s="14" t="s">
        <v>2118</v>
      </c>
    </row>
    <row r="1206" spans="2:13" x14ac:dyDescent="0.25">
      <c r="B1206" s="1"/>
      <c r="C1206" s="1"/>
      <c r="D1206" s="1"/>
      <c r="E1206" s="1"/>
      <c r="F1206" s="1"/>
      <c r="G1206" s="1"/>
      <c r="H1206" s="1"/>
      <c r="I1206" s="14" t="s">
        <v>2119</v>
      </c>
    </row>
    <row r="1207" spans="2:13" x14ac:dyDescent="0.25">
      <c r="B1207" s="11" t="s">
        <v>1522</v>
      </c>
      <c r="C1207" s="230" t="s">
        <v>1296</v>
      </c>
      <c r="D1207" s="230"/>
      <c r="E1207" s="230" t="s">
        <v>2033</v>
      </c>
      <c r="F1207" s="230"/>
      <c r="G1207" s="230" t="s">
        <v>1127</v>
      </c>
      <c r="H1207" s="230"/>
      <c r="I1207" s="14" t="s">
        <v>2120</v>
      </c>
    </row>
    <row r="1208" spans="2:13" x14ac:dyDescent="0.25">
      <c r="B1208" s="11"/>
      <c r="C1208" s="11"/>
      <c r="D1208" s="11"/>
      <c r="E1208" s="11"/>
      <c r="F1208" s="11"/>
      <c r="G1208" s="11"/>
      <c r="H1208" s="11"/>
      <c r="I1208" s="14" t="s">
        <v>2121</v>
      </c>
    </row>
    <row r="1209" spans="2:13" x14ac:dyDescent="0.25">
      <c r="B1209" s="1" t="s">
        <v>2122</v>
      </c>
      <c r="C1209" s="283" t="s">
        <v>1717</v>
      </c>
      <c r="D1209" s="283"/>
      <c r="E1209" s="283" t="s">
        <v>1718</v>
      </c>
      <c r="F1209" s="283"/>
      <c r="G1209" s="283" t="s">
        <v>1960</v>
      </c>
      <c r="H1209" s="283"/>
    </row>
    <row r="1210" spans="2:13" x14ac:dyDescent="0.25">
      <c r="B1210" s="1"/>
      <c r="C1210" s="1"/>
      <c r="D1210" s="1"/>
      <c r="E1210" s="1"/>
      <c r="F1210" s="1"/>
      <c r="G1210" s="1"/>
      <c r="H1210" s="1"/>
      <c r="I1210" t="s">
        <v>2123</v>
      </c>
    </row>
    <row r="1211" spans="2:13" x14ac:dyDescent="0.25">
      <c r="B1211" s="11" t="s">
        <v>2124</v>
      </c>
      <c r="C1211" s="230" t="s">
        <v>2125</v>
      </c>
      <c r="D1211" s="230"/>
      <c r="E1211" s="230" t="s">
        <v>2126</v>
      </c>
      <c r="F1211" s="230"/>
      <c r="G1211" s="230" t="s">
        <v>2127</v>
      </c>
      <c r="H1211" s="230"/>
      <c r="I1211" t="s">
        <v>2128</v>
      </c>
    </row>
    <row r="1212" spans="2:13" x14ac:dyDescent="0.25">
      <c r="B1212" s="11"/>
      <c r="C1212" s="11"/>
      <c r="D1212" s="11"/>
      <c r="E1212" s="11"/>
      <c r="F1212" s="11"/>
      <c r="G1212" s="11"/>
      <c r="H1212" s="11"/>
    </row>
    <row r="1213" spans="2:13" x14ac:dyDescent="0.25">
      <c r="B1213" s="1" t="s">
        <v>2129</v>
      </c>
      <c r="C1213" s="283" t="s">
        <v>1376</v>
      </c>
      <c r="D1213" s="283"/>
      <c r="E1213" s="283" t="s">
        <v>1901</v>
      </c>
      <c r="F1213" s="283"/>
      <c r="G1213" s="283" t="s">
        <v>1902</v>
      </c>
      <c r="H1213" s="283"/>
    </row>
    <row r="1214" spans="2:13" x14ac:dyDescent="0.25">
      <c r="B1214" s="1" t="s">
        <v>2130</v>
      </c>
      <c r="C1214" s="1"/>
      <c r="D1214" s="1"/>
      <c r="E1214" s="1"/>
      <c r="F1214" s="1"/>
      <c r="G1214" s="1"/>
      <c r="H1214" s="1"/>
    </row>
    <row r="1215" spans="2:13" x14ac:dyDescent="0.25">
      <c r="B1215" s="11" t="s">
        <v>2131</v>
      </c>
      <c r="C1215" s="230" t="s">
        <v>2007</v>
      </c>
      <c r="D1215" s="230"/>
      <c r="E1215" s="230" t="s">
        <v>2132</v>
      </c>
      <c r="F1215" s="230"/>
      <c r="G1215" s="230" t="s">
        <v>2133</v>
      </c>
      <c r="H1215" s="230"/>
    </row>
    <row r="1216" spans="2:13" x14ac:dyDescent="0.25">
      <c r="B1216" s="11"/>
      <c r="C1216" s="11"/>
      <c r="D1216" s="11"/>
      <c r="E1216" s="11"/>
      <c r="F1216" s="11"/>
      <c r="G1216" s="11"/>
      <c r="H1216" s="11"/>
    </row>
    <row r="1217" spans="2:13" x14ac:dyDescent="0.25">
      <c r="B1217" s="1" t="s">
        <v>2134</v>
      </c>
      <c r="C1217" s="283" t="s">
        <v>392</v>
      </c>
      <c r="D1217" s="283"/>
      <c r="E1217" s="283" t="s">
        <v>2135</v>
      </c>
      <c r="F1217" s="283"/>
      <c r="G1217" s="283" t="s">
        <v>2136</v>
      </c>
      <c r="H1217" s="283"/>
    </row>
    <row r="1218" spans="2:13" ht="15.75" thickBot="1" x14ac:dyDescent="0.3"/>
    <row r="1219" spans="2:13" x14ac:dyDescent="0.25">
      <c r="B1219" s="274"/>
      <c r="C1219" s="275"/>
      <c r="D1219" s="275"/>
      <c r="E1219" s="275"/>
      <c r="F1219" s="275"/>
      <c r="G1219" s="275"/>
      <c r="H1219" s="275"/>
      <c r="I1219" s="275"/>
      <c r="J1219" s="275"/>
      <c r="K1219" s="275"/>
      <c r="L1219" s="275"/>
      <c r="M1219" s="276"/>
    </row>
    <row r="1220" spans="2:13" x14ac:dyDescent="0.25">
      <c r="B1220" s="3" t="s">
        <v>402</v>
      </c>
      <c r="C1220" s="232" t="s">
        <v>403</v>
      </c>
      <c r="D1220" s="232"/>
      <c r="E1220" s="232" t="s">
        <v>467</v>
      </c>
      <c r="F1220" s="232"/>
      <c r="G1220" s="232" t="s">
        <v>405</v>
      </c>
      <c r="H1220" s="232"/>
      <c r="I1220" s="234" t="s">
        <v>1991</v>
      </c>
      <c r="J1220" s="277"/>
      <c r="K1220" s="234" t="s">
        <v>407</v>
      </c>
      <c r="L1220" s="235"/>
      <c r="M1220" s="236"/>
    </row>
    <row r="1221" spans="2:13" ht="15.75" thickBot="1" x14ac:dyDescent="0.3">
      <c r="B1221" s="5">
        <v>2</v>
      </c>
      <c r="C1221" s="237"/>
      <c r="D1221" s="238"/>
      <c r="E1221" s="239"/>
      <c r="F1221" s="238"/>
      <c r="G1221" s="240"/>
      <c r="H1221" s="240"/>
      <c r="I1221" s="239"/>
      <c r="J1221" s="238"/>
      <c r="K1221" s="239"/>
      <c r="L1221" s="237"/>
      <c r="M1221" s="308"/>
    </row>
    <row r="1222" spans="2:13" ht="15.75" thickBot="1" x14ac:dyDescent="0.3">
      <c r="B1222" s="1"/>
      <c r="C1222" s="1"/>
      <c r="D1222" s="1"/>
      <c r="E1222" s="1"/>
      <c r="F1222" s="1"/>
      <c r="G1222" s="1"/>
      <c r="H1222" s="1"/>
    </row>
    <row r="1223" spans="2:13" x14ac:dyDescent="0.25">
      <c r="B1223" s="274" t="s">
        <v>408</v>
      </c>
      <c r="C1223" s="275"/>
      <c r="D1223" s="275"/>
      <c r="E1223" s="275"/>
      <c r="F1223" s="275"/>
      <c r="G1223" s="275"/>
      <c r="H1223" s="275"/>
      <c r="I1223" s="275"/>
      <c r="J1223" s="275"/>
      <c r="K1223" s="275"/>
      <c r="L1223" s="275"/>
      <c r="M1223" s="276"/>
    </row>
    <row r="1224" spans="2:13" x14ac:dyDescent="0.25">
      <c r="B1224" s="3" t="s">
        <v>2137</v>
      </c>
      <c r="C1224" s="232" t="s">
        <v>2138</v>
      </c>
      <c r="D1224" s="232"/>
      <c r="E1224" s="268" t="s">
        <v>2139</v>
      </c>
      <c r="F1224" s="268"/>
      <c r="G1224" s="233" t="s">
        <v>2140</v>
      </c>
      <c r="H1224" s="233"/>
      <c r="I1224" s="234" t="s">
        <v>2141</v>
      </c>
      <c r="J1224" s="277"/>
      <c r="K1224" s="232" t="s">
        <v>2142</v>
      </c>
      <c r="L1224" s="232"/>
      <c r="M1224" s="269"/>
    </row>
    <row r="1225" spans="2:13" ht="15.75" thickBot="1" x14ac:dyDescent="0.3">
      <c r="B1225" s="5" t="s">
        <v>565</v>
      </c>
      <c r="C1225" s="240" t="s">
        <v>2143</v>
      </c>
      <c r="D1225" s="240"/>
      <c r="E1225" s="240" t="s">
        <v>2144</v>
      </c>
      <c r="F1225" s="240"/>
      <c r="G1225" s="240" t="s">
        <v>623</v>
      </c>
      <c r="H1225" s="240"/>
      <c r="I1225" s="281" t="s">
        <v>2145</v>
      </c>
      <c r="J1225" s="282"/>
      <c r="K1225" s="240" t="s">
        <v>2146</v>
      </c>
      <c r="L1225" s="240"/>
      <c r="M1225" s="267"/>
    </row>
    <row r="1227" spans="2:13" ht="23.25" x14ac:dyDescent="0.35">
      <c r="B1227" s="29" t="s">
        <v>334</v>
      </c>
      <c r="C1227" s="229" t="s">
        <v>80</v>
      </c>
      <c r="D1227" s="229"/>
      <c r="E1227" s="229"/>
      <c r="F1227" s="229"/>
      <c r="G1227" s="229"/>
      <c r="H1227" s="229"/>
      <c r="I1227" s="229"/>
      <c r="J1227" s="229"/>
    </row>
    <row r="1228" spans="2:13" ht="18.75" x14ac:dyDescent="0.3">
      <c r="B1228" s="12" t="s">
        <v>335</v>
      </c>
      <c r="C1228" s="195" t="s">
        <v>336</v>
      </c>
      <c r="D1228" s="228" t="s">
        <v>427</v>
      </c>
      <c r="E1228" s="228"/>
      <c r="F1228" s="1" t="s">
        <v>2096</v>
      </c>
      <c r="L1228" s="12" t="s">
        <v>339</v>
      </c>
      <c r="M1228" s="6" t="s">
        <v>79</v>
      </c>
    </row>
    <row r="1230" spans="2:13" x14ac:dyDescent="0.25">
      <c r="B1230" s="2" t="s">
        <v>341</v>
      </c>
      <c r="C1230" s="250" t="s">
        <v>342</v>
      </c>
      <c r="D1230" s="250"/>
      <c r="E1230" s="250" t="s">
        <v>343</v>
      </c>
      <c r="F1230" s="250"/>
      <c r="G1230" s="250" t="s">
        <v>954</v>
      </c>
      <c r="H1230" s="250"/>
      <c r="I1230" s="228" t="s">
        <v>345</v>
      </c>
      <c r="J1230" s="228"/>
      <c r="K1230" s="228"/>
      <c r="L1230" s="228"/>
      <c r="M1230" s="228"/>
    </row>
    <row r="1231" spans="2:13" x14ac:dyDescent="0.25">
      <c r="C1231" s="251"/>
      <c r="D1231" s="251"/>
      <c r="E1231" s="251"/>
      <c r="F1231" s="251"/>
      <c r="G1231" s="251"/>
      <c r="H1231" s="251"/>
      <c r="I1231" s="7"/>
      <c r="J1231" s="7"/>
      <c r="K1231" s="7"/>
      <c r="L1231" s="7"/>
      <c r="M1231" s="7"/>
    </row>
    <row r="1232" spans="2:13" x14ac:dyDescent="0.25">
      <c r="B1232" s="11" t="s">
        <v>2147</v>
      </c>
      <c r="C1232" s="230" t="s">
        <v>2148</v>
      </c>
      <c r="D1232" s="230"/>
      <c r="E1232" s="230" t="s">
        <v>2149</v>
      </c>
      <c r="F1232" s="230"/>
      <c r="G1232" s="230" t="s">
        <v>2150</v>
      </c>
      <c r="H1232" s="230"/>
      <c r="I1232" s="14" t="s">
        <v>2151</v>
      </c>
      <c r="J1232" s="14"/>
      <c r="K1232" s="7"/>
      <c r="L1232" s="7"/>
      <c r="M1232" s="7"/>
    </row>
    <row r="1233" spans="2:13" x14ac:dyDescent="0.25">
      <c r="B1233" s="11"/>
      <c r="C1233" s="185"/>
      <c r="D1233" s="185"/>
      <c r="E1233" s="185"/>
      <c r="F1233" s="185"/>
      <c r="G1233" s="185"/>
      <c r="H1233" s="185"/>
      <c r="I1233" s="14" t="s">
        <v>2152</v>
      </c>
      <c r="J1233" s="14"/>
      <c r="K1233" s="7"/>
      <c r="L1233" s="7"/>
      <c r="M1233" s="7"/>
    </row>
    <row r="1234" spans="2:13" x14ac:dyDescent="0.25">
      <c r="B1234" s="1" t="s">
        <v>2153</v>
      </c>
      <c r="C1234" s="283" t="s">
        <v>1846</v>
      </c>
      <c r="D1234" s="283"/>
      <c r="E1234" s="283" t="s">
        <v>446</v>
      </c>
      <c r="F1234" s="283"/>
      <c r="G1234" s="283" t="s">
        <v>2154</v>
      </c>
      <c r="H1234" s="283"/>
      <c r="I1234" s="14" t="s">
        <v>2155</v>
      </c>
      <c r="J1234" s="14"/>
      <c r="K1234" s="7"/>
      <c r="L1234" s="7"/>
      <c r="M1234" s="7"/>
    </row>
    <row r="1235" spans="2:13" x14ac:dyDescent="0.25">
      <c r="B1235" s="1"/>
      <c r="C1235" s="283"/>
      <c r="D1235" s="283"/>
      <c r="E1235" s="283"/>
      <c r="F1235" s="283"/>
      <c r="G1235" s="283"/>
      <c r="H1235" s="283"/>
      <c r="I1235" s="14" t="s">
        <v>2156</v>
      </c>
      <c r="J1235" s="14"/>
      <c r="K1235" s="7"/>
      <c r="L1235" s="7"/>
      <c r="M1235" s="7"/>
    </row>
    <row r="1236" spans="2:13" x14ac:dyDescent="0.25">
      <c r="B1236" s="11" t="s">
        <v>2157</v>
      </c>
      <c r="C1236" s="230" t="s">
        <v>2158</v>
      </c>
      <c r="D1236" s="230"/>
      <c r="E1236" s="230" t="s">
        <v>1529</v>
      </c>
      <c r="F1236" s="230"/>
      <c r="G1236" s="230" t="s">
        <v>2159</v>
      </c>
      <c r="H1236" s="230"/>
      <c r="I1236" s="14" t="s">
        <v>2160</v>
      </c>
      <c r="J1236" s="14"/>
      <c r="K1236" s="7"/>
      <c r="L1236" s="7"/>
      <c r="M1236" s="7"/>
    </row>
    <row r="1237" spans="2:13" x14ac:dyDescent="0.25">
      <c r="B1237" s="11" t="s">
        <v>2161</v>
      </c>
      <c r="C1237" s="230"/>
      <c r="D1237" s="230"/>
      <c r="E1237" s="230"/>
      <c r="F1237" s="230"/>
      <c r="G1237" s="230"/>
      <c r="H1237" s="230"/>
      <c r="I1237" s="14" t="s">
        <v>2162</v>
      </c>
      <c r="J1237" s="14"/>
      <c r="K1237" s="7"/>
      <c r="L1237" s="7"/>
      <c r="M1237" s="7"/>
    </row>
    <row r="1238" spans="2:13" x14ac:dyDescent="0.25">
      <c r="B1238" s="1" t="s">
        <v>2163</v>
      </c>
      <c r="C1238" s="283" t="s">
        <v>390</v>
      </c>
      <c r="D1238" s="283"/>
      <c r="E1238" s="253" t="s">
        <v>2164</v>
      </c>
      <c r="F1238" s="253"/>
      <c r="G1238" s="283" t="s">
        <v>391</v>
      </c>
      <c r="H1238" s="283"/>
      <c r="I1238" s="14"/>
      <c r="J1238" s="14"/>
      <c r="K1238" s="7"/>
      <c r="L1238" s="7"/>
      <c r="M1238" s="7"/>
    </row>
    <row r="1239" spans="2:13" x14ac:dyDescent="0.25">
      <c r="B1239" s="1"/>
      <c r="C1239" s="195"/>
      <c r="D1239" s="195"/>
      <c r="E1239" s="195"/>
      <c r="F1239" s="195"/>
      <c r="G1239" s="195"/>
      <c r="H1239" s="195"/>
      <c r="I1239" s="14"/>
      <c r="J1239" s="14"/>
      <c r="K1239" s="7"/>
      <c r="L1239" s="7"/>
      <c r="M1239" s="7"/>
    </row>
    <row r="1240" spans="2:13" x14ac:dyDescent="0.25">
      <c r="B1240" s="11" t="s">
        <v>366</v>
      </c>
      <c r="C1240" s="230" t="s">
        <v>392</v>
      </c>
      <c r="D1240" s="230"/>
      <c r="E1240" s="230" t="s">
        <v>395</v>
      </c>
      <c r="F1240" s="230"/>
      <c r="G1240" s="230" t="s">
        <v>2165</v>
      </c>
      <c r="H1240" s="230"/>
      <c r="I1240" s="14"/>
      <c r="J1240" s="14"/>
      <c r="K1240" s="7"/>
      <c r="L1240" s="7"/>
      <c r="M1240" s="7"/>
    </row>
    <row r="1241" spans="2:13" x14ac:dyDescent="0.25">
      <c r="B1241" s="11"/>
      <c r="C1241" s="185"/>
      <c r="D1241" s="185"/>
      <c r="E1241" s="185"/>
      <c r="F1241" s="185"/>
      <c r="G1241" s="185"/>
      <c r="H1241" s="185"/>
      <c r="I1241" s="14"/>
      <c r="J1241" s="14"/>
      <c r="K1241" s="7"/>
      <c r="L1241" s="7"/>
      <c r="M1241" s="7"/>
    </row>
    <row r="1242" spans="2:13" x14ac:dyDescent="0.25">
      <c r="B1242" s="31" t="s">
        <v>2166</v>
      </c>
      <c r="C1242" s="283" t="s">
        <v>2167</v>
      </c>
      <c r="D1242" s="283"/>
      <c r="E1242" s="253" t="s">
        <v>2168</v>
      </c>
      <c r="F1242" s="253"/>
      <c r="G1242" s="283" t="s">
        <v>2169</v>
      </c>
      <c r="H1242" s="283"/>
      <c r="I1242" s="14"/>
      <c r="J1242" s="14"/>
      <c r="K1242" s="7"/>
      <c r="L1242" s="7"/>
      <c r="M1242" s="7"/>
    </row>
    <row r="1243" spans="2:13" x14ac:dyDescent="0.25">
      <c r="B1243" s="31" t="s">
        <v>2170</v>
      </c>
      <c r="C1243" s="283" t="s">
        <v>2171</v>
      </c>
      <c r="D1243" s="283"/>
      <c r="E1243" s="283" t="s">
        <v>2172</v>
      </c>
      <c r="F1243" s="283"/>
      <c r="G1243" s="283" t="s">
        <v>2173</v>
      </c>
      <c r="H1243" s="283"/>
      <c r="I1243" s="14"/>
      <c r="J1243" s="14"/>
      <c r="K1243" s="7"/>
      <c r="L1243" s="7"/>
      <c r="M1243" s="7"/>
    </row>
    <row r="1244" spans="2:13" x14ac:dyDescent="0.25">
      <c r="B1244" s="11" t="s">
        <v>2174</v>
      </c>
      <c r="C1244" s="230" t="s">
        <v>1915</v>
      </c>
      <c r="D1244" s="230"/>
      <c r="E1244" s="230" t="s">
        <v>1892</v>
      </c>
      <c r="F1244" s="230"/>
      <c r="G1244" s="230" t="s">
        <v>2175</v>
      </c>
      <c r="H1244" s="230"/>
      <c r="I1244" s="14"/>
      <c r="J1244" s="14"/>
      <c r="K1244" s="7"/>
      <c r="L1244" s="7"/>
      <c r="M1244" s="7"/>
    </row>
    <row r="1245" spans="2:13" x14ac:dyDescent="0.25">
      <c r="B1245" s="8"/>
      <c r="C1245" s="185"/>
      <c r="D1245" s="185"/>
      <c r="E1245" s="185"/>
      <c r="F1245" s="185"/>
      <c r="G1245" s="185"/>
      <c r="H1245" s="185"/>
      <c r="I1245" s="64"/>
      <c r="J1245" s="14"/>
      <c r="K1245" s="7"/>
      <c r="L1245" s="7"/>
      <c r="M1245" s="7"/>
    </row>
    <row r="1246" spans="2:13" x14ac:dyDescent="0.25">
      <c r="B1246" s="1" t="s">
        <v>2176</v>
      </c>
      <c r="C1246" s="283" t="s">
        <v>1915</v>
      </c>
      <c r="D1246" s="283"/>
      <c r="E1246" s="283" t="s">
        <v>1892</v>
      </c>
      <c r="F1246" s="283"/>
      <c r="G1246" s="283" t="s">
        <v>2175</v>
      </c>
      <c r="H1246" s="283"/>
      <c r="I1246" s="14"/>
    </row>
    <row r="1247" spans="2:13" x14ac:dyDescent="0.25">
      <c r="B1247" s="1"/>
      <c r="C1247" s="1"/>
      <c r="D1247" s="1"/>
      <c r="E1247" s="1"/>
      <c r="F1247" s="1"/>
      <c r="G1247" s="1"/>
      <c r="H1247" s="1"/>
      <c r="I1247" s="14"/>
    </row>
    <row r="1248" spans="2:13" x14ac:dyDescent="0.25">
      <c r="B1248" s="11" t="s">
        <v>2177</v>
      </c>
      <c r="C1248" s="230" t="s">
        <v>2178</v>
      </c>
      <c r="D1248" s="230"/>
      <c r="E1248" s="230" t="s">
        <v>2068</v>
      </c>
      <c r="F1248" s="230"/>
      <c r="G1248" s="230" t="s">
        <v>1892</v>
      </c>
      <c r="H1248" s="230"/>
      <c r="I1248" s="14"/>
    </row>
    <row r="1249" spans="2:13" x14ac:dyDescent="0.25">
      <c r="B1249" s="11"/>
      <c r="C1249" s="11"/>
      <c r="D1249" s="11"/>
      <c r="E1249" s="11"/>
      <c r="F1249" s="11"/>
      <c r="G1249" s="11"/>
      <c r="H1249" s="11"/>
      <c r="I1249" s="14"/>
    </row>
    <row r="1250" spans="2:13" x14ac:dyDescent="0.25">
      <c r="B1250" s="1" t="s">
        <v>1764</v>
      </c>
      <c r="C1250" s="283" t="s">
        <v>2179</v>
      </c>
      <c r="D1250" s="283"/>
      <c r="E1250" s="283" t="s">
        <v>2180</v>
      </c>
      <c r="F1250" s="283"/>
      <c r="G1250" s="283" t="s">
        <v>2181</v>
      </c>
      <c r="H1250" s="283"/>
    </row>
    <row r="1251" spans="2:13" ht="15.75" thickBot="1" x14ac:dyDescent="0.3">
      <c r="B1251" s="1"/>
      <c r="C1251" s="1"/>
      <c r="D1251" s="1"/>
      <c r="E1251" s="1"/>
      <c r="F1251" s="1"/>
      <c r="G1251" s="1"/>
      <c r="H1251" s="1"/>
    </row>
    <row r="1252" spans="2:13" x14ac:dyDescent="0.25">
      <c r="B1252" s="274"/>
      <c r="C1252" s="275"/>
      <c r="D1252" s="275"/>
      <c r="E1252" s="275"/>
      <c r="F1252" s="275"/>
      <c r="G1252" s="275"/>
      <c r="H1252" s="275"/>
      <c r="I1252" s="275"/>
      <c r="J1252" s="275"/>
      <c r="K1252" s="275"/>
      <c r="L1252" s="275"/>
      <c r="M1252" s="276"/>
    </row>
    <row r="1253" spans="2:13" x14ac:dyDescent="0.25">
      <c r="B1253" s="3" t="s">
        <v>402</v>
      </c>
      <c r="C1253" s="232" t="s">
        <v>403</v>
      </c>
      <c r="D1253" s="232"/>
      <c r="E1253" s="232" t="s">
        <v>467</v>
      </c>
      <c r="F1253" s="232"/>
      <c r="G1253" s="232" t="s">
        <v>405</v>
      </c>
      <c r="H1253" s="232"/>
      <c r="I1253" s="234" t="s">
        <v>1991</v>
      </c>
      <c r="J1253" s="277"/>
      <c r="K1253" s="234" t="s">
        <v>407</v>
      </c>
      <c r="L1253" s="235"/>
      <c r="M1253" s="236"/>
    </row>
    <row r="1254" spans="2:13" ht="15.75" thickBot="1" x14ac:dyDescent="0.3">
      <c r="B1254" s="5">
        <v>2.6971400000000001</v>
      </c>
      <c r="C1254" s="237">
        <v>3.3075000000000001</v>
      </c>
      <c r="D1254" s="238"/>
      <c r="E1254" s="239">
        <v>7.0459999999999995E-2</v>
      </c>
      <c r="F1254" s="238"/>
      <c r="G1254" s="240"/>
      <c r="H1254" s="240"/>
      <c r="I1254" s="239"/>
      <c r="J1254" s="238"/>
      <c r="K1254" s="239"/>
      <c r="L1254" s="237"/>
      <c r="M1254" s="308"/>
    </row>
    <row r="1255" spans="2:13" ht="15.75" thickBot="1" x14ac:dyDescent="0.3">
      <c r="B1255" s="1"/>
      <c r="C1255" s="1"/>
      <c r="D1255" s="1"/>
      <c r="E1255" s="1"/>
      <c r="F1255" s="1"/>
      <c r="G1255" s="1"/>
      <c r="H1255" s="1"/>
    </row>
    <row r="1256" spans="2:13" x14ac:dyDescent="0.25">
      <c r="B1256" s="274" t="s">
        <v>408</v>
      </c>
      <c r="C1256" s="275"/>
      <c r="D1256" s="275"/>
      <c r="E1256" s="275"/>
      <c r="F1256" s="275"/>
      <c r="G1256" s="275"/>
      <c r="H1256" s="275"/>
      <c r="I1256" s="275"/>
      <c r="J1256" s="275"/>
      <c r="K1256" s="275"/>
      <c r="L1256" s="275"/>
      <c r="M1256" s="276"/>
    </row>
    <row r="1257" spans="2:13" x14ac:dyDescent="0.25">
      <c r="B1257" s="3" t="s">
        <v>2182</v>
      </c>
      <c r="C1257" s="232" t="s">
        <v>2183</v>
      </c>
      <c r="D1257" s="232"/>
      <c r="E1257" s="268" t="s">
        <v>2184</v>
      </c>
      <c r="F1257" s="268"/>
      <c r="G1257" s="233" t="s">
        <v>2185</v>
      </c>
      <c r="H1257" s="233"/>
      <c r="I1257" s="234" t="s">
        <v>2186</v>
      </c>
      <c r="J1257" s="277"/>
      <c r="K1257" s="232" t="s">
        <v>2187</v>
      </c>
      <c r="L1257" s="232"/>
      <c r="M1257" s="269"/>
    </row>
    <row r="1258" spans="2:13" ht="15.75" thickBot="1" x14ac:dyDescent="0.3">
      <c r="B1258" s="5" t="s">
        <v>900</v>
      </c>
      <c r="C1258" s="240" t="s">
        <v>2188</v>
      </c>
      <c r="D1258" s="240"/>
      <c r="E1258" s="240" t="s">
        <v>2189</v>
      </c>
      <c r="F1258" s="240"/>
      <c r="G1258" s="240" t="s">
        <v>2190</v>
      </c>
      <c r="H1258" s="240"/>
      <c r="I1258" s="281" t="s">
        <v>2191</v>
      </c>
      <c r="J1258" s="282"/>
      <c r="K1258" s="240" t="s">
        <v>2192</v>
      </c>
      <c r="L1258" s="240"/>
      <c r="M1258" s="267"/>
    </row>
    <row r="1260" spans="2:13" ht="23.25" x14ac:dyDescent="0.35">
      <c r="B1260" s="29" t="s">
        <v>334</v>
      </c>
      <c r="C1260" s="229" t="s">
        <v>2193</v>
      </c>
      <c r="D1260" s="229"/>
      <c r="E1260" s="229"/>
      <c r="F1260" s="229"/>
      <c r="G1260" s="229"/>
      <c r="H1260" s="229"/>
      <c r="I1260" s="229"/>
      <c r="J1260" s="229"/>
      <c r="K1260" s="229"/>
      <c r="L1260" s="229"/>
    </row>
    <row r="1261" spans="2:13" ht="18.75" x14ac:dyDescent="0.3">
      <c r="B1261" s="12" t="s">
        <v>335</v>
      </c>
      <c r="C1261" s="195" t="s">
        <v>336</v>
      </c>
      <c r="D1261" s="228" t="s">
        <v>427</v>
      </c>
      <c r="E1261" s="228"/>
      <c r="F1261" s="1" t="s">
        <v>804</v>
      </c>
      <c r="L1261" s="12" t="s">
        <v>339</v>
      </c>
      <c r="M1261" s="6" t="s">
        <v>94</v>
      </c>
    </row>
    <row r="1263" spans="2:13" x14ac:dyDescent="0.25">
      <c r="B1263" s="2" t="s">
        <v>341</v>
      </c>
      <c r="C1263" s="250" t="s">
        <v>342</v>
      </c>
      <c r="D1263" s="250"/>
      <c r="E1263" s="228" t="s">
        <v>345</v>
      </c>
      <c r="F1263" s="228"/>
      <c r="G1263" s="228"/>
      <c r="H1263" s="228"/>
      <c r="I1263" s="228"/>
    </row>
    <row r="1264" spans="2:13" x14ac:dyDescent="0.25">
      <c r="C1264" s="251"/>
      <c r="D1264" s="251"/>
      <c r="E1264" s="7"/>
      <c r="F1264" s="7"/>
      <c r="G1264" s="7"/>
      <c r="H1264" s="7"/>
      <c r="I1264" s="7"/>
    </row>
    <row r="1265" spans="2:13" x14ac:dyDescent="0.25">
      <c r="B1265" s="11" t="s">
        <v>921</v>
      </c>
      <c r="C1265" s="230" t="s">
        <v>545</v>
      </c>
      <c r="D1265" s="230"/>
      <c r="E1265" s="14" t="s">
        <v>922</v>
      </c>
      <c r="F1265" s="7"/>
      <c r="G1265" s="7"/>
      <c r="H1265" s="7"/>
      <c r="I1265" s="7"/>
    </row>
    <row r="1266" spans="2:13" x14ac:dyDescent="0.25">
      <c r="B1266" s="11"/>
      <c r="C1266" s="185"/>
      <c r="D1266" s="185"/>
      <c r="E1266" s="14" t="s">
        <v>923</v>
      </c>
      <c r="F1266" s="7"/>
      <c r="G1266" s="7"/>
      <c r="H1266" s="7"/>
      <c r="I1266" s="7"/>
    </row>
    <row r="1267" spans="2:13" x14ac:dyDescent="0.25">
      <c r="B1267" s="1" t="s">
        <v>464</v>
      </c>
      <c r="C1267" s="283" t="s">
        <v>545</v>
      </c>
      <c r="D1267" s="283"/>
      <c r="E1267" s="14" t="s">
        <v>924</v>
      </c>
      <c r="F1267" s="7"/>
      <c r="G1267" s="7"/>
      <c r="H1267" s="7"/>
      <c r="I1267" s="7"/>
    </row>
    <row r="1268" spans="2:13" x14ac:dyDescent="0.25">
      <c r="B1268" s="1"/>
      <c r="C1268" s="195"/>
      <c r="D1268" s="195"/>
      <c r="E1268" s="14" t="s">
        <v>925</v>
      </c>
      <c r="F1268" s="7"/>
      <c r="G1268" s="7"/>
      <c r="H1268" s="7"/>
      <c r="I1268" s="7"/>
    </row>
    <row r="1269" spans="2:13" x14ac:dyDescent="0.25">
      <c r="B1269" s="32"/>
      <c r="C1269" s="288"/>
      <c r="D1269" s="288"/>
      <c r="E1269" s="14" t="s">
        <v>926</v>
      </c>
      <c r="F1269" s="7"/>
      <c r="G1269" s="7"/>
      <c r="H1269" s="7"/>
      <c r="I1269" s="7"/>
    </row>
    <row r="1270" spans="2:13" x14ac:dyDescent="0.25">
      <c r="B1270" s="32"/>
      <c r="C1270" s="198"/>
      <c r="D1270" s="198"/>
      <c r="E1270" s="14" t="s">
        <v>927</v>
      </c>
      <c r="F1270" s="7"/>
      <c r="G1270" s="7"/>
      <c r="H1270" s="7"/>
      <c r="I1270" s="7"/>
    </row>
    <row r="1271" spans="2:13" x14ac:dyDescent="0.25">
      <c r="B1271" s="1"/>
      <c r="C1271" s="283"/>
      <c r="D1271" s="283"/>
      <c r="E1271" s="14" t="s">
        <v>928</v>
      </c>
      <c r="F1271" s="7"/>
      <c r="G1271" s="7"/>
      <c r="H1271" s="7"/>
      <c r="I1271" s="7"/>
    </row>
    <row r="1272" spans="2:13" ht="15.75" thickBot="1" x14ac:dyDescent="0.3">
      <c r="B1272" s="1"/>
      <c r="C1272" s="197"/>
      <c r="D1272" s="197"/>
      <c r="E1272" s="14" t="s">
        <v>612</v>
      </c>
      <c r="F1272" s="7"/>
      <c r="G1272" s="7"/>
      <c r="H1272" s="7"/>
      <c r="I1272" s="7"/>
    </row>
    <row r="1273" spans="2:13" x14ac:dyDescent="0.25">
      <c r="B1273" s="274" t="s">
        <v>401</v>
      </c>
      <c r="C1273" s="275"/>
      <c r="D1273" s="275"/>
      <c r="E1273" s="275"/>
      <c r="F1273" s="275"/>
      <c r="G1273" s="275"/>
      <c r="H1273" s="275"/>
      <c r="I1273" s="275"/>
      <c r="J1273" s="275"/>
      <c r="K1273" s="275"/>
      <c r="L1273" s="275"/>
      <c r="M1273" s="276"/>
    </row>
    <row r="1274" spans="2:13" x14ac:dyDescent="0.25">
      <c r="B1274" s="3" t="s">
        <v>402</v>
      </c>
      <c r="C1274" s="232" t="s">
        <v>403</v>
      </c>
      <c r="D1274" s="232"/>
      <c r="E1274" s="232" t="s">
        <v>467</v>
      </c>
      <c r="F1274" s="232"/>
      <c r="G1274" s="232" t="s">
        <v>405</v>
      </c>
      <c r="H1274" s="232"/>
      <c r="I1274" s="234" t="s">
        <v>406</v>
      </c>
      <c r="J1274" s="277"/>
      <c r="K1274" s="234" t="s">
        <v>468</v>
      </c>
      <c r="L1274" s="235"/>
      <c r="M1274" s="236"/>
    </row>
    <row r="1275" spans="2:13" ht="15.75" thickBot="1" x14ac:dyDescent="0.3">
      <c r="B1275" s="5">
        <v>2</v>
      </c>
      <c r="C1275" s="237">
        <v>3</v>
      </c>
      <c r="D1275" s="238"/>
      <c r="E1275" s="239"/>
      <c r="F1275" s="238"/>
      <c r="G1275" s="240"/>
      <c r="H1275" s="240"/>
      <c r="I1275" s="242"/>
      <c r="J1275" s="278"/>
      <c r="K1275" s="242"/>
      <c r="L1275" s="243"/>
      <c r="M1275" s="244"/>
    </row>
    <row r="1276" spans="2:13" ht="15.75" thickBot="1" x14ac:dyDescent="0.3">
      <c r="B1276" s="1"/>
      <c r="C1276" s="1"/>
      <c r="D1276" s="1"/>
      <c r="E1276" s="1"/>
      <c r="F1276" s="1"/>
      <c r="G1276" s="1"/>
      <c r="H1276" s="1"/>
    </row>
    <row r="1277" spans="2:13" x14ac:dyDescent="0.25">
      <c r="B1277" s="274" t="s">
        <v>408</v>
      </c>
      <c r="C1277" s="275"/>
      <c r="D1277" s="275"/>
      <c r="E1277" s="275"/>
      <c r="F1277" s="275"/>
      <c r="G1277" s="275"/>
      <c r="H1277" s="275"/>
      <c r="I1277" s="275"/>
      <c r="J1277" s="275"/>
      <c r="K1277" s="275"/>
      <c r="L1277" s="275"/>
      <c r="M1277" s="276"/>
    </row>
    <row r="1278" spans="2:13" x14ac:dyDescent="0.25">
      <c r="B1278" s="3" t="s">
        <v>2194</v>
      </c>
      <c r="C1278" s="232" t="s">
        <v>2195</v>
      </c>
      <c r="D1278" s="232"/>
      <c r="E1278" s="268" t="s">
        <v>932</v>
      </c>
      <c r="F1278" s="268"/>
      <c r="G1278" s="233" t="s">
        <v>2196</v>
      </c>
      <c r="H1278" s="233"/>
      <c r="I1278" s="234" t="s">
        <v>2197</v>
      </c>
      <c r="J1278" s="277"/>
      <c r="K1278" s="232" t="s">
        <v>2198</v>
      </c>
      <c r="L1278" s="232"/>
      <c r="M1278" s="269"/>
    </row>
    <row r="1279" spans="2:13" ht="15.75" thickBot="1" x14ac:dyDescent="0.3">
      <c r="B1279" s="5" t="s">
        <v>565</v>
      </c>
      <c r="C1279" s="240" t="s">
        <v>2199</v>
      </c>
      <c r="D1279" s="240"/>
      <c r="E1279" s="240" t="s">
        <v>2200</v>
      </c>
      <c r="F1279" s="240"/>
      <c r="G1279" s="240" t="s">
        <v>937</v>
      </c>
      <c r="H1279" s="240"/>
      <c r="I1279" s="281" t="s">
        <v>2201</v>
      </c>
      <c r="J1279" s="282"/>
      <c r="K1279" s="240" t="s">
        <v>2202</v>
      </c>
      <c r="L1279" s="240"/>
      <c r="M1279" s="267"/>
    </row>
    <row r="1281" spans="2:15" ht="23.25" x14ac:dyDescent="0.35">
      <c r="B1281" s="29" t="s">
        <v>334</v>
      </c>
      <c r="C1281" s="229" t="s">
        <v>2203</v>
      </c>
      <c r="D1281" s="229"/>
      <c r="E1281" s="229"/>
      <c r="F1281" s="229"/>
      <c r="G1281" s="229"/>
      <c r="H1281" s="229"/>
      <c r="I1281" s="229"/>
      <c r="J1281" s="229"/>
    </row>
    <row r="1282" spans="2:15" ht="18.75" x14ac:dyDescent="0.3">
      <c r="B1282" s="12" t="s">
        <v>335</v>
      </c>
      <c r="C1282" s="195" t="s">
        <v>336</v>
      </c>
      <c r="D1282" s="228" t="s">
        <v>427</v>
      </c>
      <c r="E1282" s="228"/>
      <c r="F1282" s="1" t="s">
        <v>2096</v>
      </c>
      <c r="L1282" s="12" t="s">
        <v>339</v>
      </c>
      <c r="M1282" s="6" t="s">
        <v>104</v>
      </c>
    </row>
    <row r="1284" spans="2:15" x14ac:dyDescent="0.25">
      <c r="B1284" s="2" t="s">
        <v>341</v>
      </c>
      <c r="C1284" s="250" t="s">
        <v>2204</v>
      </c>
      <c r="D1284" s="250"/>
      <c r="E1284" s="250" t="s">
        <v>342</v>
      </c>
      <c r="F1284" s="250"/>
      <c r="G1284" s="250" t="s">
        <v>343</v>
      </c>
      <c r="H1284" s="250"/>
      <c r="I1284" s="228" t="s">
        <v>345</v>
      </c>
      <c r="J1284" s="228"/>
      <c r="K1284" s="228"/>
      <c r="L1284" s="228"/>
      <c r="M1284" s="228"/>
      <c r="O1284" s="101" t="s">
        <v>732</v>
      </c>
    </row>
    <row r="1285" spans="2:15" x14ac:dyDescent="0.25">
      <c r="C1285" s="251"/>
      <c r="D1285" s="251"/>
      <c r="E1285" s="251"/>
      <c r="F1285" s="251"/>
      <c r="G1285" s="251"/>
      <c r="H1285" s="251"/>
      <c r="I1285" s="7"/>
      <c r="J1285" s="7"/>
      <c r="K1285" s="7"/>
      <c r="L1285" s="7"/>
      <c r="M1285" s="7"/>
    </row>
    <row r="1286" spans="2:15" x14ac:dyDescent="0.25">
      <c r="B1286" s="11" t="s">
        <v>848</v>
      </c>
      <c r="C1286" s="230" t="s">
        <v>856</v>
      </c>
      <c r="D1286" s="230"/>
      <c r="E1286" s="230" t="s">
        <v>1445</v>
      </c>
      <c r="F1286" s="230"/>
      <c r="G1286" s="230" t="s">
        <v>1661</v>
      </c>
      <c r="H1286" s="230"/>
      <c r="I1286" s="14" t="s">
        <v>2205</v>
      </c>
      <c r="J1286" s="14"/>
      <c r="K1286" s="7"/>
      <c r="L1286" s="7"/>
      <c r="M1286" s="7"/>
      <c r="O1286" s="98">
        <v>2.35E-2</v>
      </c>
    </row>
    <row r="1287" spans="2:15" x14ac:dyDescent="0.25">
      <c r="B1287" s="11"/>
      <c r="C1287" s="185"/>
      <c r="D1287" s="185"/>
      <c r="E1287" s="185"/>
      <c r="F1287" s="185"/>
      <c r="G1287" s="185"/>
      <c r="H1287" s="185"/>
      <c r="I1287" s="14" t="s">
        <v>2206</v>
      </c>
      <c r="J1287" s="14"/>
      <c r="K1287" s="7"/>
      <c r="L1287" s="7"/>
      <c r="M1287" s="7"/>
    </row>
    <row r="1288" spans="2:15" x14ac:dyDescent="0.25">
      <c r="B1288" s="1" t="s">
        <v>518</v>
      </c>
      <c r="C1288" s="283" t="s">
        <v>678</v>
      </c>
      <c r="D1288" s="283"/>
      <c r="E1288" s="283" t="s">
        <v>390</v>
      </c>
      <c r="F1288" s="283"/>
      <c r="G1288" s="283" t="s">
        <v>391</v>
      </c>
      <c r="H1288" s="283"/>
      <c r="I1288" s="14" t="s">
        <v>2207</v>
      </c>
      <c r="J1288" s="14"/>
      <c r="K1288" s="7"/>
      <c r="L1288" s="7"/>
      <c r="M1288" s="7"/>
      <c r="O1288" s="103">
        <v>4.4569999999999999E-4</v>
      </c>
    </row>
    <row r="1289" spans="2:15" x14ac:dyDescent="0.25">
      <c r="B1289" s="1"/>
      <c r="C1289" s="283"/>
      <c r="D1289" s="283"/>
      <c r="E1289" s="283"/>
      <c r="F1289" s="283"/>
      <c r="G1289" s="283"/>
      <c r="H1289" s="283"/>
      <c r="I1289" s="14" t="s">
        <v>2208</v>
      </c>
      <c r="J1289" s="14"/>
      <c r="K1289" s="7"/>
      <c r="L1289" s="7"/>
      <c r="M1289" s="7"/>
    </row>
    <row r="1290" spans="2:15" x14ac:dyDescent="0.25">
      <c r="B1290" s="11" t="s">
        <v>1046</v>
      </c>
      <c r="C1290" s="230" t="s">
        <v>891</v>
      </c>
      <c r="D1290" s="230"/>
      <c r="E1290" s="230" t="s">
        <v>487</v>
      </c>
      <c r="F1290" s="230"/>
      <c r="G1290" s="230" t="s">
        <v>678</v>
      </c>
      <c r="H1290" s="230"/>
      <c r="I1290" s="14" t="s">
        <v>2209</v>
      </c>
      <c r="J1290" s="14"/>
      <c r="K1290" s="7"/>
      <c r="L1290" s="7"/>
      <c r="M1290" s="7"/>
      <c r="O1290" s="98">
        <v>8.0000000000000002E-3</v>
      </c>
    </row>
    <row r="1291" spans="2:15" x14ac:dyDescent="0.25">
      <c r="B1291" s="11"/>
      <c r="C1291" s="230"/>
      <c r="D1291" s="230"/>
      <c r="E1291" s="230"/>
      <c r="F1291" s="230"/>
      <c r="G1291" s="230"/>
      <c r="H1291" s="230"/>
      <c r="I1291" s="14" t="s">
        <v>2210</v>
      </c>
      <c r="J1291" s="14"/>
      <c r="K1291" s="7"/>
      <c r="L1291" s="7"/>
      <c r="M1291" s="7"/>
    </row>
    <row r="1292" spans="2:15" x14ac:dyDescent="0.25">
      <c r="B1292" s="1" t="s">
        <v>2211</v>
      </c>
      <c r="C1292" s="283" t="s">
        <v>2212</v>
      </c>
      <c r="D1292" s="283"/>
      <c r="E1292" s="283" t="s">
        <v>363</v>
      </c>
      <c r="F1292" s="283"/>
      <c r="G1292" s="283" t="s">
        <v>2213</v>
      </c>
      <c r="H1292" s="283"/>
      <c r="I1292" s="14" t="s">
        <v>2214</v>
      </c>
      <c r="J1292" s="14"/>
      <c r="K1292" s="7"/>
      <c r="L1292" s="7"/>
      <c r="M1292" s="7"/>
      <c r="O1292" s="98">
        <v>0.53700000000000003</v>
      </c>
    </row>
    <row r="1293" spans="2:15" x14ac:dyDescent="0.25">
      <c r="B1293" s="1" t="s">
        <v>2215</v>
      </c>
      <c r="C1293" s="195"/>
      <c r="D1293" s="195"/>
      <c r="E1293" s="195"/>
      <c r="F1293" s="195"/>
      <c r="G1293" s="195"/>
      <c r="H1293" s="195"/>
      <c r="I1293" s="14" t="s">
        <v>2216</v>
      </c>
      <c r="J1293" s="14"/>
      <c r="K1293" s="7"/>
      <c r="L1293" s="7"/>
      <c r="M1293" s="7"/>
    </row>
    <row r="1294" spans="2:15" x14ac:dyDescent="0.25">
      <c r="B1294" s="11" t="s">
        <v>2217</v>
      </c>
      <c r="C1294" s="230" t="s">
        <v>2218</v>
      </c>
      <c r="D1294" s="230"/>
      <c r="E1294" s="230" t="s">
        <v>2219</v>
      </c>
      <c r="F1294" s="230"/>
      <c r="G1294" s="230" t="s">
        <v>2220</v>
      </c>
      <c r="H1294" s="230"/>
      <c r="I1294" s="14" t="s">
        <v>2221</v>
      </c>
      <c r="J1294" s="14"/>
      <c r="K1294" s="7"/>
      <c r="L1294" s="7"/>
      <c r="M1294" s="7"/>
      <c r="O1294" s="98">
        <v>1.8110000000000001E-2</v>
      </c>
    </row>
    <row r="1295" spans="2:15" x14ac:dyDescent="0.25">
      <c r="B1295" s="11"/>
      <c r="C1295" s="185"/>
      <c r="D1295" s="185"/>
      <c r="E1295" s="185"/>
      <c r="F1295" s="185"/>
      <c r="G1295" s="185"/>
      <c r="H1295" s="185"/>
      <c r="I1295" s="14" t="s">
        <v>2222</v>
      </c>
      <c r="J1295" s="14"/>
      <c r="K1295" s="7"/>
      <c r="L1295" s="7"/>
      <c r="M1295" s="7"/>
    </row>
    <row r="1296" spans="2:15" x14ac:dyDescent="0.25">
      <c r="B1296" s="1" t="s">
        <v>2223</v>
      </c>
      <c r="C1296" s="283" t="s">
        <v>854</v>
      </c>
      <c r="D1296" s="283"/>
      <c r="E1296" s="283" t="s">
        <v>1443</v>
      </c>
      <c r="F1296" s="283"/>
      <c r="G1296" s="253" t="s">
        <v>2224</v>
      </c>
      <c r="H1296" s="253"/>
      <c r="I1296" s="14" t="s">
        <v>2225</v>
      </c>
      <c r="J1296" s="14"/>
      <c r="K1296" s="7"/>
      <c r="L1296" s="7"/>
      <c r="M1296" s="7"/>
      <c r="O1296" s="102">
        <v>3.0000000000000001E-3</v>
      </c>
    </row>
    <row r="1297" spans="2:15" x14ac:dyDescent="0.25">
      <c r="B1297" s="1"/>
      <c r="C1297" s="195"/>
      <c r="D1297" s="195"/>
      <c r="E1297" s="195"/>
      <c r="F1297" s="195"/>
      <c r="G1297" s="195"/>
      <c r="H1297" s="195"/>
      <c r="I1297" s="14" t="s">
        <v>2226</v>
      </c>
      <c r="J1297" s="14"/>
      <c r="K1297" s="7"/>
      <c r="L1297" s="7"/>
      <c r="M1297" s="7"/>
    </row>
    <row r="1298" spans="2:15" x14ac:dyDescent="0.25">
      <c r="B1298" s="11" t="s">
        <v>2227</v>
      </c>
      <c r="C1298" s="230" t="s">
        <v>2228</v>
      </c>
      <c r="D1298" s="230"/>
      <c r="E1298" s="230" t="s">
        <v>2229</v>
      </c>
      <c r="F1298" s="230"/>
      <c r="G1298" s="230" t="s">
        <v>2230</v>
      </c>
      <c r="H1298" s="230"/>
      <c r="I1298" s="14" t="s">
        <v>2231</v>
      </c>
      <c r="J1298" s="14"/>
      <c r="K1298" s="7"/>
      <c r="L1298" s="7"/>
      <c r="M1298" s="7"/>
      <c r="O1298" s="102">
        <v>4.0000000000000001E-3</v>
      </c>
    </row>
    <row r="1299" spans="2:15" x14ac:dyDescent="0.25">
      <c r="B1299" s="11" t="s">
        <v>1583</v>
      </c>
      <c r="C1299" s="185"/>
      <c r="D1299" s="185"/>
      <c r="E1299" s="185"/>
      <c r="F1299" s="185"/>
      <c r="G1299" s="185"/>
      <c r="H1299" s="185"/>
      <c r="I1299" s="64"/>
      <c r="J1299" s="14"/>
      <c r="K1299" s="7"/>
      <c r="L1299" s="7"/>
      <c r="M1299" s="7"/>
    </row>
    <row r="1300" spans="2:15" x14ac:dyDescent="0.25">
      <c r="B1300" s="1" t="s">
        <v>652</v>
      </c>
      <c r="C1300" s="283" t="s">
        <v>399</v>
      </c>
      <c r="D1300" s="283"/>
      <c r="E1300" s="316" t="s">
        <v>2232</v>
      </c>
      <c r="F1300" s="316"/>
      <c r="G1300" s="283" t="s">
        <v>787</v>
      </c>
      <c r="H1300" s="283"/>
      <c r="I1300" s="14"/>
      <c r="O1300" s="102">
        <v>2.5000000000000001E-3</v>
      </c>
    </row>
    <row r="1301" spans="2:15" x14ac:dyDescent="0.25">
      <c r="B1301" s="1"/>
      <c r="C1301" s="1"/>
      <c r="D1301" s="1"/>
      <c r="E1301" s="1"/>
      <c r="F1301" s="1"/>
      <c r="G1301" s="1"/>
      <c r="H1301" s="1"/>
      <c r="I1301" s="14"/>
    </row>
    <row r="1302" spans="2:15" x14ac:dyDescent="0.25">
      <c r="B1302" s="11" t="s">
        <v>2233</v>
      </c>
      <c r="C1302" s="230" t="s">
        <v>1319</v>
      </c>
      <c r="D1302" s="230"/>
      <c r="E1302" s="230" t="s">
        <v>2234</v>
      </c>
      <c r="F1302" s="230"/>
      <c r="G1302" s="230" t="s">
        <v>2235</v>
      </c>
      <c r="H1302" s="230"/>
      <c r="I1302" s="14"/>
      <c r="O1302" s="98">
        <v>0</v>
      </c>
    </row>
    <row r="1303" spans="2:15" x14ac:dyDescent="0.25">
      <c r="B1303" s="11"/>
      <c r="C1303" s="11"/>
      <c r="D1303" s="11"/>
      <c r="E1303" s="11"/>
      <c r="F1303" s="11"/>
      <c r="G1303" s="11"/>
      <c r="H1303" s="11"/>
      <c r="I1303" s="14"/>
    </row>
    <row r="1304" spans="2:15" x14ac:dyDescent="0.25">
      <c r="B1304" s="1" t="s">
        <v>2236</v>
      </c>
      <c r="C1304" s="283" t="s">
        <v>2237</v>
      </c>
      <c r="D1304" s="283"/>
      <c r="E1304" s="283" t="s">
        <v>2238</v>
      </c>
      <c r="F1304" s="283"/>
      <c r="G1304" s="283" t="s">
        <v>1321</v>
      </c>
      <c r="H1304" s="283"/>
      <c r="O1304" s="98">
        <v>2.988E-2</v>
      </c>
    </row>
    <row r="1305" spans="2:15" x14ac:dyDescent="0.25">
      <c r="B1305" s="1"/>
      <c r="C1305" s="1"/>
      <c r="D1305" s="1"/>
      <c r="E1305" s="1"/>
      <c r="F1305" s="1"/>
      <c r="G1305" s="1"/>
      <c r="H1305" s="1"/>
    </row>
    <row r="1306" spans="2:15" x14ac:dyDescent="0.25">
      <c r="B1306" s="11" t="s">
        <v>2239</v>
      </c>
      <c r="C1306" s="230" t="s">
        <v>2228</v>
      </c>
      <c r="D1306" s="230"/>
      <c r="E1306" s="230" t="s">
        <v>2229</v>
      </c>
      <c r="F1306" s="230"/>
      <c r="G1306" s="230" t="s">
        <v>2230</v>
      </c>
      <c r="H1306" s="230"/>
      <c r="O1306" s="98">
        <v>5.6000000000000001E-2</v>
      </c>
    </row>
    <row r="1307" spans="2:15" x14ac:dyDescent="0.25">
      <c r="B1307" s="11"/>
      <c r="C1307" s="11"/>
      <c r="D1307" s="11"/>
      <c r="E1307" s="11"/>
      <c r="F1307" s="11"/>
      <c r="G1307" s="11"/>
      <c r="H1307" s="11"/>
    </row>
    <row r="1308" spans="2:15" x14ac:dyDescent="0.25">
      <c r="B1308" s="1" t="s">
        <v>2240</v>
      </c>
      <c r="C1308" s="283" t="s">
        <v>1596</v>
      </c>
      <c r="D1308" s="283"/>
      <c r="E1308" s="283" t="s">
        <v>2241</v>
      </c>
      <c r="F1308" s="283"/>
      <c r="G1308" s="283" t="s">
        <v>2242</v>
      </c>
      <c r="H1308" s="283"/>
      <c r="O1308" s="98">
        <v>0.04</v>
      </c>
    </row>
    <row r="1309" spans="2:15" x14ac:dyDescent="0.25">
      <c r="B1309" s="1"/>
      <c r="C1309" s="1"/>
      <c r="D1309" s="1"/>
      <c r="E1309" s="1"/>
      <c r="F1309" s="1"/>
      <c r="G1309" s="1"/>
      <c r="H1309" s="1"/>
    </row>
    <row r="1310" spans="2:15" x14ac:dyDescent="0.25">
      <c r="B1310" s="11" t="s">
        <v>2243</v>
      </c>
      <c r="C1310" s="230" t="s">
        <v>2218</v>
      </c>
      <c r="D1310" s="230"/>
      <c r="E1310" s="230" t="s">
        <v>2219</v>
      </c>
      <c r="F1310" s="230"/>
      <c r="G1310" s="230" t="s">
        <v>2220</v>
      </c>
      <c r="H1310" s="230"/>
      <c r="O1310" s="98">
        <v>6.5000000000000002E-2</v>
      </c>
    </row>
    <row r="1311" spans="2:15" x14ac:dyDescent="0.25">
      <c r="B1311" s="11"/>
      <c r="C1311" s="11"/>
      <c r="D1311" s="11"/>
      <c r="E1311" s="11"/>
      <c r="F1311" s="11"/>
      <c r="G1311" s="11"/>
      <c r="H1311" s="11"/>
    </row>
    <row r="1312" spans="2:15" x14ac:dyDescent="0.25">
      <c r="B1312" s="1" t="s">
        <v>2244</v>
      </c>
      <c r="C1312" s="283" t="s">
        <v>395</v>
      </c>
      <c r="D1312" s="283"/>
      <c r="E1312" s="283" t="s">
        <v>2245</v>
      </c>
      <c r="F1312" s="283"/>
      <c r="G1312" s="283" t="s">
        <v>398</v>
      </c>
      <c r="H1312" s="283"/>
      <c r="O1312" s="98">
        <v>6.0000000000000001E-3</v>
      </c>
    </row>
    <row r="1313" spans="2:15" x14ac:dyDescent="0.25">
      <c r="B1313" s="1"/>
      <c r="C1313" s="195"/>
      <c r="D1313" s="195"/>
      <c r="E1313" s="195"/>
      <c r="F1313" s="195"/>
      <c r="G1313" s="195"/>
      <c r="H1313" s="195"/>
    </row>
    <row r="1314" spans="2:15" x14ac:dyDescent="0.25">
      <c r="B1314" s="11" t="s">
        <v>2246</v>
      </c>
      <c r="C1314" s="230" t="s">
        <v>487</v>
      </c>
      <c r="D1314" s="230"/>
      <c r="E1314" s="230" t="s">
        <v>2247</v>
      </c>
      <c r="F1314" s="230"/>
      <c r="G1314" s="230" t="s">
        <v>390</v>
      </c>
      <c r="H1314" s="230"/>
      <c r="O1314" s="98">
        <v>2.8799999999999999E-2</v>
      </c>
    </row>
    <row r="1315" spans="2:15" x14ac:dyDescent="0.25">
      <c r="B1315" s="11"/>
      <c r="C1315" s="11"/>
      <c r="D1315" s="11"/>
      <c r="E1315" s="11"/>
      <c r="F1315" s="11"/>
      <c r="G1315" s="11"/>
      <c r="H1315" s="11"/>
    </row>
    <row r="1316" spans="2:15" x14ac:dyDescent="0.25">
      <c r="B1316" s="32" t="s">
        <v>2248</v>
      </c>
      <c r="C1316" s="283" t="s">
        <v>491</v>
      </c>
      <c r="D1316" s="283"/>
      <c r="E1316" s="283" t="s">
        <v>1026</v>
      </c>
      <c r="F1316" s="283"/>
      <c r="G1316" s="283" t="s">
        <v>1027</v>
      </c>
      <c r="H1316" s="283"/>
      <c r="O1316" s="98">
        <v>8.3000000000000001E-3</v>
      </c>
    </row>
    <row r="1317" spans="2:15" x14ac:dyDescent="0.25">
      <c r="B1317" s="32"/>
      <c r="C1317" s="1"/>
      <c r="D1317" s="1"/>
      <c r="E1317" s="1"/>
      <c r="F1317" s="1"/>
      <c r="G1317" s="1"/>
      <c r="H1317" s="1"/>
    </row>
    <row r="1318" spans="2:15" x14ac:dyDescent="0.25">
      <c r="B1318" s="11" t="s">
        <v>1470</v>
      </c>
      <c r="C1318" s="230" t="s">
        <v>744</v>
      </c>
      <c r="D1318" s="230"/>
      <c r="E1318" s="230" t="s">
        <v>491</v>
      </c>
      <c r="F1318" s="230"/>
      <c r="G1318" s="230" t="s">
        <v>1049</v>
      </c>
      <c r="H1318" s="230"/>
      <c r="O1318" s="102">
        <v>1.09E-3</v>
      </c>
    </row>
    <row r="1319" spans="2:15" x14ac:dyDescent="0.25">
      <c r="B1319" s="11"/>
      <c r="C1319" s="185"/>
      <c r="D1319" s="185"/>
      <c r="E1319" s="185"/>
      <c r="F1319" s="185"/>
      <c r="G1319" s="185"/>
      <c r="H1319" s="185"/>
    </row>
    <row r="1320" spans="2:15" x14ac:dyDescent="0.25">
      <c r="B1320" s="32" t="s">
        <v>2249</v>
      </c>
      <c r="C1320" s="288" t="s">
        <v>2250</v>
      </c>
      <c r="D1320" s="288"/>
      <c r="E1320" s="288" t="s">
        <v>1628</v>
      </c>
      <c r="F1320" s="288"/>
      <c r="G1320" s="288" t="s">
        <v>1629</v>
      </c>
      <c r="H1320" s="288"/>
      <c r="O1320" s="105">
        <v>1.155E-3</v>
      </c>
    </row>
    <row r="1321" spans="2:15" ht="15.75" thickBot="1" x14ac:dyDescent="0.3">
      <c r="B1321" s="32"/>
      <c r="C1321" s="32"/>
      <c r="D1321" s="32"/>
      <c r="E1321" s="32"/>
      <c r="F1321" s="32"/>
      <c r="G1321" s="32"/>
      <c r="H1321" s="32"/>
    </row>
    <row r="1322" spans="2:15" x14ac:dyDescent="0.25">
      <c r="B1322" s="274"/>
      <c r="C1322" s="275"/>
      <c r="D1322" s="275"/>
      <c r="E1322" s="275"/>
      <c r="F1322" s="275"/>
      <c r="G1322" s="275"/>
      <c r="H1322" s="275"/>
      <c r="I1322" s="275"/>
      <c r="J1322" s="275"/>
      <c r="K1322" s="275"/>
      <c r="L1322" s="275"/>
      <c r="M1322" s="276"/>
      <c r="O1322" s="100">
        <f>SUM(O1286:O1320)</f>
        <v>0.83278070000000015</v>
      </c>
    </row>
    <row r="1323" spans="2:15" x14ac:dyDescent="0.25">
      <c r="B1323" s="3" t="s">
        <v>402</v>
      </c>
      <c r="C1323" s="232" t="s">
        <v>403</v>
      </c>
      <c r="D1323" s="232"/>
      <c r="E1323" s="232" t="s">
        <v>467</v>
      </c>
      <c r="F1323" s="232"/>
      <c r="G1323" s="232" t="s">
        <v>405</v>
      </c>
      <c r="H1323" s="232"/>
      <c r="I1323" s="234" t="s">
        <v>1991</v>
      </c>
      <c r="J1323" s="277"/>
      <c r="K1323" s="234" t="s">
        <v>407</v>
      </c>
      <c r="L1323" s="235"/>
      <c r="M1323" s="236"/>
    </row>
    <row r="1324" spans="2:15" ht="15.75" thickBot="1" x14ac:dyDescent="0.3">
      <c r="B1324" s="5">
        <v>2</v>
      </c>
      <c r="C1324" s="237"/>
      <c r="D1324" s="238"/>
      <c r="E1324" s="239">
        <v>0.39</v>
      </c>
      <c r="F1324" s="238"/>
      <c r="G1324" s="240"/>
      <c r="H1324" s="240"/>
      <c r="I1324" s="239">
        <v>0.15</v>
      </c>
      <c r="J1324" s="238"/>
      <c r="K1324" s="239"/>
      <c r="L1324" s="237"/>
      <c r="M1324" s="308"/>
    </row>
    <row r="1325" spans="2:15" ht="15.75" thickBot="1" x14ac:dyDescent="0.3">
      <c r="B1325" s="1"/>
      <c r="C1325" s="1"/>
      <c r="D1325" s="1"/>
      <c r="E1325" s="1"/>
      <c r="F1325" s="1"/>
      <c r="G1325" s="1"/>
      <c r="H1325" s="1"/>
    </row>
    <row r="1326" spans="2:15" x14ac:dyDescent="0.25">
      <c r="B1326" s="274" t="s">
        <v>408</v>
      </c>
      <c r="C1326" s="275"/>
      <c r="D1326" s="275"/>
      <c r="E1326" s="275"/>
      <c r="F1326" s="275"/>
      <c r="G1326" s="275"/>
      <c r="H1326" s="275"/>
      <c r="I1326" s="275"/>
      <c r="J1326" s="275"/>
      <c r="K1326" s="275"/>
      <c r="L1326" s="275"/>
      <c r="M1326" s="276"/>
    </row>
    <row r="1327" spans="2:15" x14ac:dyDescent="0.25">
      <c r="B1327" s="3" t="s">
        <v>763</v>
      </c>
      <c r="C1327" s="232" t="s">
        <v>2251</v>
      </c>
      <c r="D1327" s="232"/>
      <c r="E1327" s="268" t="s">
        <v>1993</v>
      </c>
      <c r="F1327" s="268"/>
      <c r="G1327" s="233" t="s">
        <v>2252</v>
      </c>
      <c r="H1327" s="233"/>
      <c r="I1327" s="234" t="s">
        <v>2253</v>
      </c>
      <c r="J1327" s="277"/>
      <c r="K1327" s="232" t="s">
        <v>2254</v>
      </c>
      <c r="L1327" s="232"/>
      <c r="M1327" s="269"/>
    </row>
    <row r="1328" spans="2:15" ht="15.75" thickBot="1" x14ac:dyDescent="0.3">
      <c r="B1328" s="5" t="s">
        <v>565</v>
      </c>
      <c r="C1328" s="240" t="s">
        <v>2255</v>
      </c>
      <c r="D1328" s="240"/>
      <c r="E1328" s="240" t="s">
        <v>2256</v>
      </c>
      <c r="F1328" s="240"/>
      <c r="G1328" s="240" t="s">
        <v>2257</v>
      </c>
      <c r="H1328" s="240"/>
      <c r="I1328" s="281" t="s">
        <v>567</v>
      </c>
      <c r="J1328" s="282"/>
      <c r="K1328" s="240" t="s">
        <v>569</v>
      </c>
      <c r="L1328" s="240"/>
      <c r="M1328" s="267"/>
    </row>
    <row r="1330" spans="2:15" ht="23.25" x14ac:dyDescent="0.35">
      <c r="B1330" s="29" t="s">
        <v>334</v>
      </c>
      <c r="C1330" s="229" t="s">
        <v>110</v>
      </c>
      <c r="D1330" s="229"/>
      <c r="E1330" s="229"/>
      <c r="F1330" s="229"/>
      <c r="G1330" s="229"/>
      <c r="H1330" s="229"/>
      <c r="I1330" s="229"/>
      <c r="J1330" s="229"/>
    </row>
    <row r="1331" spans="2:15" ht="18.75" x14ac:dyDescent="0.3">
      <c r="B1331" s="12" t="s">
        <v>335</v>
      </c>
      <c r="C1331" s="195" t="s">
        <v>336</v>
      </c>
      <c r="D1331" s="228" t="s">
        <v>427</v>
      </c>
      <c r="E1331" s="228"/>
      <c r="F1331" s="1" t="s">
        <v>2258</v>
      </c>
      <c r="L1331" s="12" t="s">
        <v>339</v>
      </c>
      <c r="M1331" s="6" t="s">
        <v>109</v>
      </c>
    </row>
    <row r="1333" spans="2:15" x14ac:dyDescent="0.25">
      <c r="B1333" s="2" t="s">
        <v>341</v>
      </c>
      <c r="C1333" s="250" t="s">
        <v>342</v>
      </c>
      <c r="D1333" s="250"/>
      <c r="E1333" s="250" t="s">
        <v>343</v>
      </c>
      <c r="F1333" s="250"/>
      <c r="G1333" s="250" t="s">
        <v>344</v>
      </c>
      <c r="H1333" s="250"/>
      <c r="I1333" s="228" t="s">
        <v>345</v>
      </c>
      <c r="J1333" s="228"/>
      <c r="K1333" s="228"/>
      <c r="L1333" s="228"/>
      <c r="M1333" s="228"/>
      <c r="O1333" s="101" t="s">
        <v>732</v>
      </c>
    </row>
    <row r="1334" spans="2:15" x14ac:dyDescent="0.25">
      <c r="C1334" s="251"/>
      <c r="D1334" s="251"/>
      <c r="E1334" s="251"/>
      <c r="F1334" s="251"/>
      <c r="G1334" s="251"/>
      <c r="H1334" s="251"/>
      <c r="I1334" s="7"/>
      <c r="J1334" s="7"/>
      <c r="K1334" s="7"/>
      <c r="L1334" s="7"/>
      <c r="M1334" s="7"/>
    </row>
    <row r="1335" spans="2:15" x14ac:dyDescent="0.25">
      <c r="B1335" s="11" t="s">
        <v>2259</v>
      </c>
      <c r="C1335" s="230" t="s">
        <v>545</v>
      </c>
      <c r="D1335" s="230"/>
      <c r="E1335" s="230" t="s">
        <v>984</v>
      </c>
      <c r="F1335" s="230"/>
      <c r="G1335" s="230" t="s">
        <v>1055</v>
      </c>
      <c r="H1335" s="230"/>
      <c r="I1335" s="14" t="s">
        <v>2260</v>
      </c>
      <c r="J1335" s="14"/>
      <c r="K1335" s="14"/>
      <c r="L1335" s="14"/>
      <c r="M1335" s="14"/>
      <c r="O1335" s="98">
        <v>0.109</v>
      </c>
    </row>
    <row r="1336" spans="2:15" x14ac:dyDescent="0.25">
      <c r="B1336" s="11"/>
      <c r="C1336" s="185"/>
      <c r="D1336" s="185"/>
      <c r="E1336" s="185"/>
      <c r="F1336" s="185"/>
      <c r="G1336" s="185"/>
      <c r="H1336" s="185"/>
      <c r="I1336" s="14" t="s">
        <v>2261</v>
      </c>
      <c r="J1336" s="14"/>
      <c r="K1336" s="14"/>
      <c r="L1336" s="14"/>
      <c r="M1336" s="14"/>
      <c r="O1336" s="98"/>
    </row>
    <row r="1337" spans="2:15" x14ac:dyDescent="0.25">
      <c r="B1337" s="1" t="s">
        <v>2262</v>
      </c>
      <c r="C1337" s="283" t="s">
        <v>2263</v>
      </c>
      <c r="D1337" s="283"/>
      <c r="E1337" s="283" t="s">
        <v>2264</v>
      </c>
      <c r="F1337" s="283"/>
      <c r="G1337" s="283" t="s">
        <v>2265</v>
      </c>
      <c r="H1337" s="283"/>
      <c r="I1337" s="14" t="s">
        <v>2266</v>
      </c>
      <c r="J1337" s="14"/>
      <c r="K1337" s="14"/>
      <c r="L1337" s="14"/>
      <c r="M1337" s="14"/>
      <c r="O1337" s="98">
        <v>0.156</v>
      </c>
    </row>
    <row r="1338" spans="2:15" x14ac:dyDescent="0.25">
      <c r="B1338" s="1"/>
      <c r="C1338" s="283"/>
      <c r="D1338" s="283"/>
      <c r="E1338" s="283"/>
      <c r="F1338" s="283"/>
      <c r="G1338" s="283"/>
      <c r="H1338" s="283"/>
      <c r="I1338" s="14" t="s">
        <v>2267</v>
      </c>
      <c r="J1338" s="14"/>
      <c r="K1338" s="14"/>
      <c r="L1338" s="14"/>
      <c r="M1338" s="14"/>
      <c r="O1338" s="98"/>
    </row>
    <row r="1339" spans="2:15" x14ac:dyDescent="0.25">
      <c r="B1339" s="11" t="s">
        <v>2268</v>
      </c>
      <c r="C1339" s="230" t="s">
        <v>1797</v>
      </c>
      <c r="D1339" s="230"/>
      <c r="E1339" s="230" t="s">
        <v>1798</v>
      </c>
      <c r="F1339" s="230"/>
      <c r="G1339" s="230" t="s">
        <v>1835</v>
      </c>
      <c r="H1339" s="230"/>
      <c r="I1339" s="14" t="s">
        <v>2269</v>
      </c>
      <c r="O1339" s="98">
        <v>4.3999999999999997E-2</v>
      </c>
    </row>
    <row r="1340" spans="2:15" x14ac:dyDescent="0.25">
      <c r="B1340" s="11" t="s">
        <v>2270</v>
      </c>
      <c r="C1340" s="230"/>
      <c r="D1340" s="230"/>
      <c r="E1340" s="230"/>
      <c r="F1340" s="230"/>
      <c r="G1340" s="230"/>
      <c r="H1340" s="230"/>
      <c r="I1340" s="14" t="s">
        <v>2271</v>
      </c>
      <c r="J1340" s="14"/>
      <c r="K1340" s="14"/>
      <c r="L1340" s="14"/>
      <c r="M1340" s="14"/>
      <c r="O1340" s="98"/>
    </row>
    <row r="1341" spans="2:15" x14ac:dyDescent="0.25">
      <c r="B1341" s="1" t="s">
        <v>2272</v>
      </c>
      <c r="C1341" s="283" t="s">
        <v>1915</v>
      </c>
      <c r="D1341" s="283"/>
      <c r="E1341" s="283" t="s">
        <v>2175</v>
      </c>
      <c r="F1341" s="283"/>
      <c r="G1341" s="283" t="s">
        <v>1798</v>
      </c>
      <c r="H1341" s="283"/>
      <c r="I1341" s="14" t="s">
        <v>2273</v>
      </c>
      <c r="O1341" s="102">
        <v>4.0000000000000001E-3</v>
      </c>
    </row>
    <row r="1342" spans="2:15" x14ac:dyDescent="0.25">
      <c r="B1342" s="1"/>
      <c r="C1342" s="195"/>
      <c r="D1342" s="195"/>
      <c r="E1342" s="195"/>
      <c r="F1342" s="195"/>
      <c r="G1342" s="195"/>
      <c r="H1342" s="195"/>
      <c r="I1342" s="14" t="s">
        <v>2274</v>
      </c>
      <c r="J1342" s="14"/>
      <c r="K1342" s="14"/>
      <c r="L1342" s="14"/>
      <c r="M1342" s="14"/>
      <c r="O1342" s="98"/>
    </row>
    <row r="1343" spans="2:15" x14ac:dyDescent="0.25">
      <c r="B1343" s="11" t="s">
        <v>454</v>
      </c>
      <c r="C1343" s="230" t="s">
        <v>678</v>
      </c>
      <c r="D1343" s="230"/>
      <c r="E1343" s="230" t="s">
        <v>1640</v>
      </c>
      <c r="F1343" s="230"/>
      <c r="G1343" s="230" t="s">
        <v>390</v>
      </c>
      <c r="H1343" s="230"/>
      <c r="I1343" s="14" t="s">
        <v>2275</v>
      </c>
      <c r="J1343" s="14"/>
      <c r="K1343" s="14"/>
      <c r="L1343" s="14"/>
      <c r="M1343" s="14"/>
      <c r="O1343" s="98">
        <v>5.3200000000000001E-3</v>
      </c>
    </row>
    <row r="1344" spans="2:15" x14ac:dyDescent="0.25">
      <c r="B1344" s="11"/>
      <c r="C1344" s="185"/>
      <c r="D1344" s="185"/>
      <c r="E1344" s="185"/>
      <c r="F1344" s="185"/>
      <c r="G1344" s="185"/>
      <c r="H1344" s="185"/>
      <c r="I1344" s="14" t="s">
        <v>2276</v>
      </c>
      <c r="O1344" s="98"/>
    </row>
    <row r="1345" spans="2:15" x14ac:dyDescent="0.25">
      <c r="B1345" s="1" t="s">
        <v>2108</v>
      </c>
      <c r="C1345" s="283" t="s">
        <v>678</v>
      </c>
      <c r="D1345" s="283"/>
      <c r="E1345" s="283" t="s">
        <v>1640</v>
      </c>
      <c r="F1345" s="283"/>
      <c r="G1345" s="283" t="s">
        <v>390</v>
      </c>
      <c r="H1345" s="283"/>
      <c r="I1345" s="14" t="s">
        <v>2277</v>
      </c>
      <c r="J1345" s="14"/>
      <c r="K1345" s="14"/>
      <c r="L1345" s="14"/>
      <c r="M1345" s="14"/>
      <c r="O1345" s="98">
        <v>7.6800000000000002E-3</v>
      </c>
    </row>
    <row r="1346" spans="2:15" x14ac:dyDescent="0.25">
      <c r="B1346" s="1"/>
      <c r="C1346" s="195"/>
      <c r="D1346" s="195"/>
      <c r="E1346" s="195"/>
      <c r="F1346" s="195"/>
      <c r="G1346" s="195"/>
      <c r="H1346" s="195"/>
      <c r="I1346" s="14" t="s">
        <v>2278</v>
      </c>
      <c r="O1346" s="98"/>
    </row>
    <row r="1347" spans="2:15" x14ac:dyDescent="0.25">
      <c r="B1347" s="11" t="s">
        <v>1224</v>
      </c>
      <c r="C1347" s="230" t="s">
        <v>491</v>
      </c>
      <c r="D1347" s="230"/>
      <c r="E1347" s="230" t="s">
        <v>487</v>
      </c>
      <c r="F1347" s="230"/>
      <c r="G1347" s="230" t="s">
        <v>1878</v>
      </c>
      <c r="H1347" s="230"/>
      <c r="I1347" s="14" t="s">
        <v>2279</v>
      </c>
      <c r="J1347" s="14"/>
      <c r="K1347" s="14"/>
      <c r="L1347" s="14"/>
      <c r="M1347" s="14"/>
      <c r="O1347" s="102">
        <v>2.2000000000000001E-3</v>
      </c>
    </row>
    <row r="1348" spans="2:15" x14ac:dyDescent="0.25">
      <c r="B1348" s="11"/>
      <c r="C1348" s="185"/>
      <c r="D1348" s="185"/>
      <c r="E1348" s="185"/>
      <c r="F1348" s="185"/>
      <c r="G1348" s="185"/>
      <c r="H1348" s="185"/>
      <c r="I1348" s="14" t="s">
        <v>2276</v>
      </c>
      <c r="O1348" s="98"/>
    </row>
    <row r="1349" spans="2:15" x14ac:dyDescent="0.25">
      <c r="B1349" s="1" t="s">
        <v>1051</v>
      </c>
      <c r="C1349" s="283" t="s">
        <v>491</v>
      </c>
      <c r="D1349" s="283"/>
      <c r="E1349" s="283" t="s">
        <v>487</v>
      </c>
      <c r="F1349" s="283"/>
      <c r="G1349" s="283" t="s">
        <v>1878</v>
      </c>
      <c r="H1349" s="283"/>
      <c r="I1349" s="14" t="s">
        <v>2280</v>
      </c>
      <c r="J1349" s="14"/>
      <c r="K1349" s="14"/>
      <c r="L1349" s="14"/>
      <c r="M1349" s="14"/>
      <c r="O1349" s="102">
        <v>4.0000000000000001E-3</v>
      </c>
    </row>
    <row r="1350" spans="2:15" x14ac:dyDescent="0.25">
      <c r="B1350" s="1"/>
      <c r="C1350" s="1"/>
      <c r="D1350" s="1"/>
      <c r="E1350" s="1"/>
      <c r="F1350" s="1"/>
      <c r="G1350" s="1"/>
      <c r="H1350" s="1"/>
      <c r="I1350" s="14" t="s">
        <v>2281</v>
      </c>
      <c r="J1350" s="14"/>
      <c r="K1350" s="14"/>
      <c r="L1350" s="14"/>
      <c r="O1350" s="98"/>
    </row>
    <row r="1351" spans="2:15" x14ac:dyDescent="0.25">
      <c r="B1351" s="11" t="s">
        <v>1656</v>
      </c>
      <c r="C1351" s="230" t="s">
        <v>1798</v>
      </c>
      <c r="D1351" s="230"/>
      <c r="E1351" s="230" t="s">
        <v>2282</v>
      </c>
      <c r="F1351" s="230"/>
      <c r="G1351" s="230" t="s">
        <v>2283</v>
      </c>
      <c r="H1351" s="230"/>
      <c r="I1351" s="14" t="s">
        <v>2284</v>
      </c>
      <c r="J1351" s="14"/>
      <c r="K1351" s="14"/>
      <c r="L1351" s="14"/>
      <c r="O1351" s="98">
        <v>5.6500000000000002E-2</v>
      </c>
    </row>
    <row r="1352" spans="2:15" x14ac:dyDescent="0.25">
      <c r="B1352" s="11" t="s">
        <v>869</v>
      </c>
      <c r="C1352" s="11"/>
      <c r="D1352" s="11"/>
      <c r="E1352" s="11"/>
      <c r="F1352" s="11"/>
      <c r="G1352" s="11"/>
      <c r="H1352" s="11"/>
      <c r="I1352" s="14" t="s">
        <v>2285</v>
      </c>
      <c r="J1352" s="14"/>
      <c r="K1352" s="14"/>
      <c r="L1352" s="14"/>
      <c r="M1352" s="14"/>
      <c r="O1352" s="98"/>
    </row>
    <row r="1353" spans="2:15" x14ac:dyDescent="0.25">
      <c r="B1353" s="1" t="s">
        <v>1854</v>
      </c>
      <c r="C1353" s="283" t="s">
        <v>1798</v>
      </c>
      <c r="D1353" s="283"/>
      <c r="E1353" s="283" t="s">
        <v>2282</v>
      </c>
      <c r="F1353" s="283"/>
      <c r="G1353" s="283" t="s">
        <v>2283</v>
      </c>
      <c r="H1353" s="283"/>
      <c r="I1353" s="14" t="s">
        <v>2286</v>
      </c>
      <c r="J1353" s="14"/>
      <c r="K1353" s="14"/>
      <c r="L1353" s="14"/>
      <c r="M1353" s="14"/>
      <c r="O1353" s="98">
        <v>5.6000000000000001E-2</v>
      </c>
    </row>
    <row r="1354" spans="2:15" x14ac:dyDescent="0.25">
      <c r="B1354" s="1" t="s">
        <v>869</v>
      </c>
      <c r="C1354" s="1"/>
      <c r="D1354" s="1"/>
      <c r="E1354" s="1"/>
      <c r="F1354" s="1"/>
      <c r="G1354" s="1"/>
      <c r="H1354" s="1"/>
      <c r="I1354" s="14" t="s">
        <v>2287</v>
      </c>
      <c r="O1354" s="98"/>
    </row>
    <row r="1355" spans="2:15" x14ac:dyDescent="0.25">
      <c r="B1355" s="11" t="s">
        <v>2288</v>
      </c>
      <c r="C1355" s="230" t="s">
        <v>2289</v>
      </c>
      <c r="D1355" s="230"/>
      <c r="E1355" s="230" t="s">
        <v>2290</v>
      </c>
      <c r="F1355" s="230"/>
      <c r="G1355" s="230" t="s">
        <v>2291</v>
      </c>
      <c r="H1355" s="230"/>
      <c r="O1355" s="98">
        <v>0.02</v>
      </c>
    </row>
    <row r="1356" spans="2:15" x14ac:dyDescent="0.25">
      <c r="B1356" s="11"/>
      <c r="C1356" s="11"/>
      <c r="D1356" s="11"/>
      <c r="E1356" s="11"/>
      <c r="F1356" s="11"/>
      <c r="G1356" s="11"/>
      <c r="H1356" s="11"/>
      <c r="O1356" s="98"/>
    </row>
    <row r="1357" spans="2:15" x14ac:dyDescent="0.25">
      <c r="B1357" s="1" t="s">
        <v>2292</v>
      </c>
      <c r="C1357" s="283" t="s">
        <v>2293</v>
      </c>
      <c r="D1357" s="283"/>
      <c r="E1357" s="283" t="s">
        <v>2294</v>
      </c>
      <c r="F1357" s="283"/>
      <c r="G1357" s="283" t="s">
        <v>2295</v>
      </c>
      <c r="H1357" s="283"/>
      <c r="O1357" s="98">
        <v>0.1</v>
      </c>
    </row>
    <row r="1358" spans="2:15" x14ac:dyDescent="0.25">
      <c r="B1358" s="1"/>
      <c r="C1358" s="1"/>
      <c r="D1358" s="1"/>
      <c r="E1358" s="1"/>
      <c r="F1358" s="1"/>
      <c r="G1358" s="1"/>
      <c r="H1358" s="1"/>
      <c r="O1358" s="98"/>
    </row>
    <row r="1359" spans="2:15" x14ac:dyDescent="0.25">
      <c r="B1359" s="11" t="s">
        <v>518</v>
      </c>
      <c r="C1359" s="230" t="s">
        <v>1654</v>
      </c>
      <c r="D1359" s="230"/>
      <c r="E1359" s="230" t="s">
        <v>1654</v>
      </c>
      <c r="F1359" s="230"/>
      <c r="G1359" s="230" t="s">
        <v>1654</v>
      </c>
      <c r="H1359" s="230"/>
      <c r="O1359" s="105">
        <v>1E-3</v>
      </c>
    </row>
    <row r="1360" spans="2:15" ht="15.75" thickBot="1" x14ac:dyDescent="0.3">
      <c r="B1360" s="11"/>
      <c r="C1360" s="11"/>
      <c r="D1360" s="11"/>
      <c r="E1360" s="11"/>
      <c r="F1360" s="11"/>
      <c r="G1360" s="11"/>
      <c r="H1360" s="11"/>
      <c r="O1360" s="98"/>
    </row>
    <row r="1361" spans="2:15" x14ac:dyDescent="0.25">
      <c r="B1361" s="274" t="s">
        <v>401</v>
      </c>
      <c r="C1361" s="275"/>
      <c r="D1361" s="275"/>
      <c r="E1361" s="275"/>
      <c r="F1361" s="275"/>
      <c r="G1361" s="275"/>
      <c r="H1361" s="275"/>
      <c r="I1361" s="275"/>
      <c r="J1361" s="275"/>
      <c r="K1361" s="275"/>
      <c r="L1361" s="275"/>
      <c r="M1361" s="276"/>
      <c r="O1361" s="100">
        <f>SUM(O1335:O1359)</f>
        <v>0.56569999999999998</v>
      </c>
    </row>
    <row r="1362" spans="2:15" x14ac:dyDescent="0.25">
      <c r="B1362" s="3" t="s">
        <v>402</v>
      </c>
      <c r="C1362" s="232" t="s">
        <v>403</v>
      </c>
      <c r="D1362" s="232"/>
      <c r="E1362" s="232" t="s">
        <v>467</v>
      </c>
      <c r="F1362" s="232"/>
      <c r="G1362" s="232" t="s">
        <v>405</v>
      </c>
      <c r="H1362" s="232"/>
      <c r="I1362" s="234" t="s">
        <v>1991</v>
      </c>
      <c r="J1362" s="277"/>
      <c r="K1362" s="234" t="s">
        <v>407</v>
      </c>
      <c r="L1362" s="235"/>
      <c r="M1362" s="236"/>
      <c r="O1362" s="98"/>
    </row>
    <row r="1363" spans="2:15" ht="15.75" thickBot="1" x14ac:dyDescent="0.3">
      <c r="B1363" s="5">
        <v>1.5</v>
      </c>
      <c r="C1363" s="237">
        <v>1.6</v>
      </c>
      <c r="D1363" s="238"/>
      <c r="E1363" s="239"/>
      <c r="F1363" s="238"/>
      <c r="G1363" s="240"/>
      <c r="H1363" s="240"/>
      <c r="I1363" s="239"/>
      <c r="J1363" s="238"/>
      <c r="K1363" s="239">
        <v>0.3</v>
      </c>
      <c r="L1363" s="237"/>
      <c r="M1363" s="308"/>
      <c r="O1363" s="98"/>
    </row>
    <row r="1364" spans="2:15" x14ac:dyDescent="0.25">
      <c r="B1364" s="1"/>
      <c r="C1364" s="1"/>
      <c r="D1364" s="1"/>
      <c r="E1364" s="1"/>
      <c r="F1364" s="1"/>
      <c r="G1364" s="1"/>
      <c r="H1364" s="1"/>
    </row>
    <row r="1365" spans="2:15" x14ac:dyDescent="0.25">
      <c r="B1365" s="217" t="s">
        <v>408</v>
      </c>
      <c r="C1365" s="218"/>
      <c r="D1365" s="218"/>
      <c r="E1365" s="218"/>
      <c r="F1365" s="218"/>
      <c r="G1365" s="218"/>
      <c r="H1365" s="218"/>
      <c r="I1365" s="218"/>
      <c r="J1365" s="218"/>
      <c r="K1365" s="218"/>
      <c r="L1365" s="218"/>
      <c r="M1365" s="219"/>
    </row>
    <row r="1366" spans="2:15" x14ac:dyDescent="0.25">
      <c r="B1366" s="122" t="s">
        <v>2296</v>
      </c>
      <c r="C1366" s="220" t="s">
        <v>1140</v>
      </c>
      <c r="D1366" s="220"/>
      <c r="E1366" s="221" t="s">
        <v>2297</v>
      </c>
      <c r="F1366" s="221"/>
      <c r="G1366" s="221" t="s">
        <v>2298</v>
      </c>
      <c r="H1366" s="221"/>
      <c r="I1366" s="220" t="s">
        <v>2299</v>
      </c>
      <c r="J1366" s="220"/>
      <c r="K1366" s="220" t="s">
        <v>2300</v>
      </c>
      <c r="L1366" s="220"/>
      <c r="M1366" s="222"/>
    </row>
    <row r="1367" spans="2:15" x14ac:dyDescent="0.25">
      <c r="B1367" s="123" t="s">
        <v>2301</v>
      </c>
      <c r="C1367" s="225" t="s">
        <v>2302</v>
      </c>
      <c r="D1367" s="226"/>
      <c r="E1367" s="227" t="s">
        <v>2303</v>
      </c>
      <c r="F1367" s="227"/>
      <c r="G1367" s="223" t="s">
        <v>1480</v>
      </c>
      <c r="H1367" s="223"/>
      <c r="I1367" s="227" t="s">
        <v>2304</v>
      </c>
      <c r="J1367" s="227"/>
      <c r="K1367" s="223" t="s">
        <v>2305</v>
      </c>
      <c r="L1367" s="223"/>
      <c r="M1367" s="224"/>
    </row>
    <row r="1368" spans="2:15" x14ac:dyDescent="0.25">
      <c r="B1368" s="123" t="s">
        <v>2306</v>
      </c>
      <c r="C1368" s="286" t="s">
        <v>2307</v>
      </c>
      <c r="D1368" s="287"/>
      <c r="E1368" s="227" t="s">
        <v>2308</v>
      </c>
      <c r="F1368" s="227"/>
      <c r="G1368" s="223" t="s">
        <v>2309</v>
      </c>
      <c r="H1368" s="223"/>
      <c r="I1368" s="223" t="s">
        <v>2310</v>
      </c>
      <c r="J1368" s="223"/>
      <c r="K1368" s="223" t="s">
        <v>2055</v>
      </c>
      <c r="L1368" s="223"/>
      <c r="M1368" s="224"/>
    </row>
    <row r="1370" spans="2:15" ht="23.25" x14ac:dyDescent="0.35">
      <c r="B1370" s="29" t="s">
        <v>334</v>
      </c>
      <c r="C1370" s="36" t="s">
        <v>190</v>
      </c>
      <c r="D1370" s="36"/>
      <c r="E1370" s="36"/>
      <c r="F1370" s="36"/>
      <c r="G1370" s="36"/>
      <c r="H1370" s="36"/>
      <c r="I1370" s="36"/>
      <c r="J1370" s="36"/>
    </row>
    <row r="1371" spans="2:15" ht="18.75" x14ac:dyDescent="0.3">
      <c r="B1371" s="12" t="s">
        <v>335</v>
      </c>
      <c r="C1371" s="195" t="s">
        <v>336</v>
      </c>
      <c r="D1371" s="228" t="s">
        <v>427</v>
      </c>
      <c r="E1371" s="228"/>
      <c r="F1371" s="1" t="s">
        <v>2311</v>
      </c>
      <c r="L1371" s="12" t="s">
        <v>339</v>
      </c>
      <c r="M1371" s="6" t="s">
        <v>189</v>
      </c>
    </row>
    <row r="1373" spans="2:15" x14ac:dyDescent="0.25">
      <c r="B1373" s="2" t="s">
        <v>341</v>
      </c>
      <c r="C1373" s="250" t="s">
        <v>342</v>
      </c>
      <c r="D1373" s="250"/>
      <c r="E1373" s="250" t="s">
        <v>1261</v>
      </c>
      <c r="F1373" s="250"/>
      <c r="G1373" s="250" t="s">
        <v>344</v>
      </c>
      <c r="H1373" s="250"/>
      <c r="I1373" s="228" t="s">
        <v>345</v>
      </c>
      <c r="J1373" s="228"/>
      <c r="K1373" s="228"/>
      <c r="L1373" s="228"/>
      <c r="M1373" s="228"/>
      <c r="O1373" s="101" t="s">
        <v>732</v>
      </c>
    </row>
    <row r="1374" spans="2:15" x14ac:dyDescent="0.25">
      <c r="C1374" s="251"/>
      <c r="D1374" s="251"/>
      <c r="E1374" s="251"/>
      <c r="F1374" s="251"/>
      <c r="G1374" s="251"/>
      <c r="H1374" s="251"/>
      <c r="I1374" s="7"/>
      <c r="J1374" s="7"/>
      <c r="K1374" s="7"/>
      <c r="L1374" s="7"/>
      <c r="M1374" s="7"/>
    </row>
    <row r="1375" spans="2:15" x14ac:dyDescent="0.25">
      <c r="B1375" s="11" t="s">
        <v>1723</v>
      </c>
      <c r="C1375" s="252" t="s">
        <v>1194</v>
      </c>
      <c r="D1375" s="252"/>
      <c r="E1375" s="252" t="s">
        <v>400</v>
      </c>
      <c r="F1375" s="252"/>
      <c r="G1375" s="252" t="s">
        <v>1019</v>
      </c>
      <c r="H1375" s="252"/>
      <c r="I1375" s="64" t="s">
        <v>2312</v>
      </c>
      <c r="J1375" s="14"/>
      <c r="K1375" s="7"/>
      <c r="L1375" s="7"/>
      <c r="M1375" s="7"/>
      <c r="O1375" s="98">
        <v>0.01</v>
      </c>
    </row>
    <row r="1376" spans="2:15" x14ac:dyDescent="0.25">
      <c r="B1376" s="11"/>
      <c r="C1376" s="188"/>
      <c r="D1376" s="188"/>
      <c r="E1376" s="188"/>
      <c r="F1376" s="188"/>
      <c r="G1376" s="188"/>
      <c r="H1376" s="188"/>
      <c r="I1376" s="14" t="s">
        <v>2313</v>
      </c>
      <c r="J1376" s="14"/>
      <c r="K1376" s="7"/>
      <c r="L1376" s="7"/>
      <c r="M1376" s="7"/>
      <c r="O1376" s="98"/>
    </row>
    <row r="1377" spans="2:15" x14ac:dyDescent="0.25">
      <c r="B1377" s="1" t="s">
        <v>1710</v>
      </c>
      <c r="C1377" s="253" t="s">
        <v>2314</v>
      </c>
      <c r="D1377" s="253"/>
      <c r="E1377" s="253" t="s">
        <v>2315</v>
      </c>
      <c r="F1377" s="253"/>
      <c r="G1377" s="253" t="s">
        <v>1711</v>
      </c>
      <c r="H1377" s="253"/>
      <c r="I1377" s="64" t="s">
        <v>2316</v>
      </c>
      <c r="J1377" s="14"/>
      <c r="K1377" s="7"/>
      <c r="L1377" s="7"/>
      <c r="M1377" s="7"/>
      <c r="O1377" s="98">
        <v>0.06</v>
      </c>
    </row>
    <row r="1378" spans="2:15" x14ac:dyDescent="0.25">
      <c r="B1378" s="1"/>
      <c r="C1378" s="253"/>
      <c r="D1378" s="253"/>
      <c r="E1378" s="253"/>
      <c r="F1378" s="253"/>
      <c r="G1378" s="253"/>
      <c r="H1378" s="253"/>
      <c r="I1378" s="14" t="s">
        <v>2317</v>
      </c>
      <c r="J1378" s="14"/>
      <c r="K1378" s="7"/>
      <c r="L1378" s="7"/>
      <c r="M1378" s="7"/>
      <c r="O1378" s="98"/>
    </row>
    <row r="1379" spans="2:15" x14ac:dyDescent="0.25">
      <c r="B1379" s="11" t="s">
        <v>366</v>
      </c>
      <c r="C1379" s="252" t="s">
        <v>2318</v>
      </c>
      <c r="D1379" s="252"/>
      <c r="E1379" s="252" t="s">
        <v>2319</v>
      </c>
      <c r="F1379" s="252"/>
      <c r="G1379" s="252" t="s">
        <v>2320</v>
      </c>
      <c r="H1379" s="252"/>
      <c r="I1379" s="14" t="s">
        <v>2321</v>
      </c>
      <c r="J1379" s="14"/>
      <c r="K1379" s="7"/>
      <c r="L1379" s="7"/>
      <c r="M1379" s="7"/>
      <c r="O1379" s="98">
        <v>4.8000000000000001E-2</v>
      </c>
    </row>
    <row r="1380" spans="2:15" x14ac:dyDescent="0.25">
      <c r="B1380" s="11"/>
      <c r="C1380" s="252"/>
      <c r="D1380" s="252"/>
      <c r="E1380" s="252"/>
      <c r="F1380" s="252"/>
      <c r="G1380" s="252"/>
      <c r="H1380" s="252"/>
      <c r="I1380" s="64" t="s">
        <v>2322</v>
      </c>
      <c r="J1380" s="14"/>
      <c r="K1380" s="7"/>
      <c r="L1380" s="7"/>
      <c r="M1380" s="7"/>
      <c r="O1380" s="98"/>
    </row>
    <row r="1381" spans="2:15" x14ac:dyDescent="0.25">
      <c r="B1381" s="1" t="s">
        <v>2323</v>
      </c>
      <c r="C1381" s="253" t="s">
        <v>382</v>
      </c>
      <c r="D1381" s="253"/>
      <c r="E1381" s="253" t="s">
        <v>398</v>
      </c>
      <c r="F1381" s="253"/>
      <c r="G1381" s="253" t="s">
        <v>1194</v>
      </c>
      <c r="H1381" s="253"/>
      <c r="I1381" s="64" t="s">
        <v>2324</v>
      </c>
      <c r="J1381" s="14"/>
      <c r="K1381" s="7"/>
      <c r="L1381" s="7"/>
      <c r="M1381" s="7"/>
      <c r="O1381" s="98">
        <v>8.8000000000000005E-3</v>
      </c>
    </row>
    <row r="1382" spans="2:15" x14ac:dyDescent="0.25">
      <c r="B1382" s="1"/>
      <c r="C1382" s="189"/>
      <c r="D1382" s="189"/>
      <c r="E1382" s="189"/>
      <c r="F1382" s="189"/>
      <c r="G1382" s="189"/>
      <c r="H1382" s="189"/>
      <c r="I1382" s="64" t="s">
        <v>2325</v>
      </c>
      <c r="J1382" s="14"/>
      <c r="K1382" s="7"/>
      <c r="L1382" s="7"/>
      <c r="M1382" s="7"/>
      <c r="O1382" s="98"/>
    </row>
    <row r="1383" spans="2:15" x14ac:dyDescent="0.25">
      <c r="B1383" s="11" t="s">
        <v>2326</v>
      </c>
      <c r="C1383" s="252" t="s">
        <v>382</v>
      </c>
      <c r="D1383" s="252"/>
      <c r="E1383" s="252" t="s">
        <v>398</v>
      </c>
      <c r="F1383" s="252"/>
      <c r="G1383" s="252" t="s">
        <v>1194</v>
      </c>
      <c r="H1383" s="252"/>
      <c r="I1383" s="64" t="s">
        <v>2327</v>
      </c>
      <c r="J1383" s="14"/>
      <c r="K1383" s="7"/>
      <c r="L1383" s="7"/>
      <c r="M1383" s="7"/>
      <c r="O1383" s="98">
        <v>9.5999999999999992E-3</v>
      </c>
    </row>
    <row r="1384" spans="2:15" x14ac:dyDescent="0.25">
      <c r="B1384" s="11"/>
      <c r="C1384" s="188"/>
      <c r="D1384" s="188"/>
      <c r="E1384" s="188"/>
      <c r="F1384" s="188"/>
      <c r="G1384" s="188"/>
      <c r="H1384" s="188"/>
      <c r="J1384" s="14"/>
      <c r="K1384" s="7"/>
      <c r="L1384" s="7"/>
      <c r="M1384" s="7"/>
      <c r="O1384" s="98"/>
    </row>
    <row r="1385" spans="2:15" x14ac:dyDescent="0.25">
      <c r="B1385" s="1" t="s">
        <v>2328</v>
      </c>
      <c r="C1385" s="253" t="s">
        <v>2314</v>
      </c>
      <c r="D1385" s="253"/>
      <c r="E1385" s="253" t="s">
        <v>2315</v>
      </c>
      <c r="F1385" s="253"/>
      <c r="G1385" s="253" t="s">
        <v>1711</v>
      </c>
      <c r="H1385" s="253"/>
      <c r="I1385" s="64" t="s">
        <v>2329</v>
      </c>
      <c r="J1385" s="14"/>
      <c r="K1385" s="7"/>
      <c r="L1385" s="7"/>
      <c r="M1385" s="7"/>
      <c r="O1385" s="98">
        <v>7.9500000000000001E-2</v>
      </c>
    </row>
    <row r="1386" spans="2:15" x14ac:dyDescent="0.25">
      <c r="B1386" s="1"/>
      <c r="C1386" s="189"/>
      <c r="D1386" s="189"/>
      <c r="E1386" s="189"/>
      <c r="F1386" s="189"/>
      <c r="G1386" s="189"/>
      <c r="H1386" s="189"/>
      <c r="I1386" s="64" t="s">
        <v>2330</v>
      </c>
      <c r="J1386" s="14"/>
      <c r="K1386" s="7"/>
      <c r="L1386" s="7"/>
      <c r="M1386" s="7"/>
    </row>
    <row r="1387" spans="2:15" x14ac:dyDescent="0.25">
      <c r="B1387" s="11" t="s">
        <v>2331</v>
      </c>
      <c r="C1387" s="265" t="s">
        <v>1654</v>
      </c>
      <c r="D1387" s="265"/>
      <c r="E1387" s="265" t="s">
        <v>1654</v>
      </c>
      <c r="F1387" s="265"/>
      <c r="G1387" s="265" t="s">
        <v>1654</v>
      </c>
      <c r="H1387" s="265"/>
      <c r="I1387" s="64"/>
      <c r="J1387" s="14"/>
      <c r="K1387" s="7"/>
      <c r="L1387" s="7"/>
      <c r="M1387" s="7"/>
      <c r="O1387" s="98">
        <v>0.01</v>
      </c>
    </row>
    <row r="1388" spans="2:15" x14ac:dyDescent="0.25">
      <c r="B1388" s="11"/>
      <c r="C1388" s="188"/>
      <c r="D1388" s="188"/>
      <c r="E1388" s="188"/>
      <c r="F1388" s="188"/>
      <c r="G1388" s="188"/>
      <c r="H1388" s="188"/>
      <c r="I1388" s="65"/>
      <c r="J1388" s="14"/>
      <c r="O1388" s="98"/>
    </row>
    <row r="1389" spans="2:15" x14ac:dyDescent="0.25">
      <c r="B1389" s="14" t="s">
        <v>2332</v>
      </c>
      <c r="C1389" s="253" t="s">
        <v>2333</v>
      </c>
      <c r="D1389" s="253"/>
      <c r="E1389" s="253" t="s">
        <v>2334</v>
      </c>
      <c r="F1389" s="253"/>
      <c r="G1389" s="253" t="s">
        <v>2335</v>
      </c>
      <c r="H1389" s="253"/>
      <c r="I1389" s="64"/>
      <c r="J1389" s="14"/>
      <c r="O1389" s="98">
        <v>0.78779999999999994</v>
      </c>
    </row>
    <row r="1390" spans="2:15" x14ac:dyDescent="0.25">
      <c r="B1390" s="14" t="s">
        <v>2336</v>
      </c>
      <c r="C1390" s="253" t="s">
        <v>2337</v>
      </c>
      <c r="D1390" s="253"/>
      <c r="E1390" s="253" t="s">
        <v>2338</v>
      </c>
      <c r="F1390" s="253"/>
      <c r="G1390" s="253" t="s">
        <v>2339</v>
      </c>
      <c r="H1390" s="253"/>
      <c r="I1390" s="64"/>
      <c r="J1390" s="14"/>
      <c r="O1390" s="98"/>
    </row>
    <row r="1391" spans="2:15" x14ac:dyDescent="0.25">
      <c r="B1391" s="11" t="s">
        <v>677</v>
      </c>
      <c r="C1391" s="252" t="s">
        <v>383</v>
      </c>
      <c r="D1391" s="252"/>
      <c r="E1391" s="252" t="s">
        <v>1109</v>
      </c>
      <c r="F1391" s="252"/>
      <c r="G1391" s="252" t="s">
        <v>1024</v>
      </c>
      <c r="H1391" s="252"/>
      <c r="I1391" s="64"/>
      <c r="J1391" s="14"/>
      <c r="O1391" s="98">
        <v>8.2000000000000007E-3</v>
      </c>
    </row>
    <row r="1392" spans="2:15" x14ac:dyDescent="0.25">
      <c r="B1392" s="11"/>
      <c r="C1392" s="188"/>
      <c r="D1392" s="188"/>
      <c r="E1392" s="188"/>
      <c r="F1392" s="188"/>
      <c r="G1392" s="188"/>
      <c r="H1392" s="188"/>
      <c r="I1392" s="64"/>
      <c r="J1392" s="14"/>
      <c r="O1392" s="98"/>
    </row>
    <row r="1393" spans="2:15" x14ac:dyDescent="0.25">
      <c r="B1393" s="1" t="s">
        <v>2340</v>
      </c>
      <c r="C1393" s="253" t="s">
        <v>392</v>
      </c>
      <c r="D1393" s="253"/>
      <c r="E1393" s="253" t="s">
        <v>374</v>
      </c>
      <c r="F1393" s="253"/>
      <c r="G1393" s="253" t="s">
        <v>382</v>
      </c>
      <c r="H1393" s="253"/>
      <c r="I1393" s="64"/>
      <c r="J1393" s="14"/>
      <c r="O1393" s="98">
        <v>7.6750000000000004E-3</v>
      </c>
    </row>
    <row r="1394" spans="2:15" x14ac:dyDescent="0.25">
      <c r="B1394" s="1"/>
      <c r="C1394" s="189"/>
      <c r="D1394" s="189"/>
      <c r="E1394" s="189"/>
      <c r="F1394" s="189"/>
      <c r="G1394" s="189"/>
      <c r="H1394" s="189"/>
      <c r="I1394" s="64"/>
      <c r="J1394" s="14"/>
      <c r="O1394" s="98"/>
    </row>
    <row r="1395" spans="2:15" x14ac:dyDescent="0.25">
      <c r="B1395" s="11" t="s">
        <v>2341</v>
      </c>
      <c r="C1395" s="252" t="s">
        <v>2342</v>
      </c>
      <c r="D1395" s="252"/>
      <c r="E1395" s="252" t="s">
        <v>2343</v>
      </c>
      <c r="F1395" s="252"/>
      <c r="G1395" s="252" t="s">
        <v>2344</v>
      </c>
      <c r="H1395" s="252"/>
      <c r="J1395" s="14"/>
      <c r="O1395" s="98">
        <v>2.7000000000000001E-3</v>
      </c>
    </row>
    <row r="1396" spans="2:15" x14ac:dyDescent="0.25">
      <c r="B1396" s="11"/>
      <c r="C1396" s="188"/>
      <c r="D1396" s="188"/>
      <c r="E1396" s="188"/>
      <c r="F1396" s="188"/>
      <c r="G1396" s="188"/>
      <c r="H1396" s="188"/>
      <c r="I1396" s="64"/>
      <c r="J1396" s="14"/>
      <c r="O1396" s="98"/>
    </row>
    <row r="1397" spans="2:15" x14ac:dyDescent="0.25">
      <c r="B1397" s="1" t="s">
        <v>2345</v>
      </c>
      <c r="C1397" s="253" t="s">
        <v>2342</v>
      </c>
      <c r="D1397" s="253"/>
      <c r="E1397" s="253" t="s">
        <v>2343</v>
      </c>
      <c r="F1397" s="253"/>
      <c r="G1397" s="253" t="s">
        <v>2344</v>
      </c>
      <c r="H1397" s="253"/>
      <c r="I1397" s="64"/>
      <c r="J1397" s="14"/>
      <c r="O1397" s="99">
        <v>3.6900000000000002E-2</v>
      </c>
    </row>
    <row r="1398" spans="2:15" ht="15.75" thickBot="1" x14ac:dyDescent="0.3">
      <c r="B1398" s="1" t="s">
        <v>2346</v>
      </c>
      <c r="C1398" s="189"/>
      <c r="D1398" s="189"/>
      <c r="E1398" s="189"/>
      <c r="F1398" s="189"/>
      <c r="G1398" s="189"/>
      <c r="H1398" s="189"/>
      <c r="I1398" s="64"/>
      <c r="J1398" s="14"/>
    </row>
    <row r="1399" spans="2:15" x14ac:dyDescent="0.25">
      <c r="B1399" s="274" t="s">
        <v>401</v>
      </c>
      <c r="C1399" s="275"/>
      <c r="D1399" s="275"/>
      <c r="E1399" s="275"/>
      <c r="F1399" s="275"/>
      <c r="G1399" s="275"/>
      <c r="H1399" s="275"/>
      <c r="I1399" s="275"/>
      <c r="J1399" s="275"/>
      <c r="K1399" s="275"/>
      <c r="L1399" s="275"/>
      <c r="M1399" s="276"/>
      <c r="O1399" s="100">
        <f>SUM(O1375:O1398)</f>
        <v>1.069175</v>
      </c>
    </row>
    <row r="1400" spans="2:15" x14ac:dyDescent="0.25">
      <c r="B1400" s="3" t="s">
        <v>402</v>
      </c>
      <c r="C1400" s="232" t="s">
        <v>403</v>
      </c>
      <c r="D1400" s="232"/>
      <c r="E1400" s="232" t="s">
        <v>467</v>
      </c>
      <c r="F1400" s="232"/>
      <c r="G1400" s="232" t="s">
        <v>405</v>
      </c>
      <c r="H1400" s="232"/>
      <c r="I1400" s="234" t="s">
        <v>406</v>
      </c>
      <c r="J1400" s="277"/>
      <c r="K1400" s="234" t="s">
        <v>407</v>
      </c>
      <c r="L1400" s="235"/>
      <c r="M1400" s="236"/>
    </row>
    <row r="1401" spans="2:15" ht="15.75" thickBot="1" x14ac:dyDescent="0.3">
      <c r="B1401" s="5">
        <v>1</v>
      </c>
      <c r="C1401" s="237"/>
      <c r="D1401" s="238"/>
      <c r="E1401" s="239"/>
      <c r="F1401" s="238"/>
      <c r="G1401" s="240"/>
      <c r="H1401" s="240"/>
      <c r="I1401" s="242"/>
      <c r="J1401" s="278"/>
      <c r="K1401" s="242">
        <v>4.4999999999999998E-2</v>
      </c>
      <c r="L1401" s="243"/>
      <c r="M1401" s="244"/>
    </row>
    <row r="1402" spans="2:15" x14ac:dyDescent="0.25">
      <c r="B1402" s="1"/>
      <c r="C1402" s="1"/>
      <c r="D1402" s="1"/>
      <c r="E1402" s="1"/>
      <c r="F1402" s="1"/>
      <c r="G1402" s="1"/>
      <c r="H1402" s="1"/>
    </row>
    <row r="1403" spans="2:15" x14ac:dyDescent="0.25">
      <c r="B1403" s="217" t="s">
        <v>408</v>
      </c>
      <c r="C1403" s="218"/>
      <c r="D1403" s="218"/>
      <c r="E1403" s="218"/>
      <c r="F1403" s="218"/>
      <c r="G1403" s="218"/>
      <c r="H1403" s="218"/>
      <c r="I1403" s="218"/>
      <c r="J1403" s="218"/>
      <c r="K1403" s="218"/>
      <c r="L1403" s="218"/>
      <c r="M1403" s="219"/>
    </row>
    <row r="1404" spans="2:15" x14ac:dyDescent="0.25">
      <c r="B1404" s="122" t="s">
        <v>2347</v>
      </c>
      <c r="C1404" s="220" t="s">
        <v>2348</v>
      </c>
      <c r="D1404" s="220"/>
      <c r="E1404" s="221" t="s">
        <v>1993</v>
      </c>
      <c r="F1404" s="221"/>
      <c r="G1404" s="221" t="s">
        <v>2349</v>
      </c>
      <c r="H1404" s="221"/>
      <c r="I1404" s="220" t="s">
        <v>2350</v>
      </c>
      <c r="J1404" s="220"/>
      <c r="K1404" s="220" t="s">
        <v>2351</v>
      </c>
      <c r="L1404" s="220"/>
      <c r="M1404" s="222"/>
    </row>
    <row r="1405" spans="2:15" x14ac:dyDescent="0.25">
      <c r="B1405" s="123" t="s">
        <v>2352</v>
      </c>
      <c r="C1405" s="225" t="s">
        <v>916</v>
      </c>
      <c r="D1405" s="226"/>
      <c r="E1405" s="227" t="s">
        <v>2353</v>
      </c>
      <c r="F1405" s="227"/>
      <c r="G1405" s="223" t="s">
        <v>2354</v>
      </c>
      <c r="H1405" s="223"/>
      <c r="I1405" s="227" t="s">
        <v>2355</v>
      </c>
      <c r="J1405" s="227"/>
      <c r="K1405" s="223" t="s">
        <v>420</v>
      </c>
      <c r="L1405" s="223"/>
      <c r="M1405" s="224"/>
    </row>
    <row r="1406" spans="2:15" x14ac:dyDescent="0.25">
      <c r="B1406" s="123" t="s">
        <v>2356</v>
      </c>
      <c r="C1406" s="286" t="s">
        <v>422</v>
      </c>
      <c r="D1406" s="287"/>
      <c r="E1406" s="227" t="s">
        <v>2357</v>
      </c>
      <c r="F1406" s="227"/>
      <c r="G1406" s="223" t="s">
        <v>2358</v>
      </c>
      <c r="H1406" s="223"/>
      <c r="I1406" s="223" t="s">
        <v>2359</v>
      </c>
      <c r="J1406" s="223"/>
      <c r="K1406" s="223" t="s">
        <v>575</v>
      </c>
      <c r="L1406" s="223"/>
      <c r="M1406" s="224"/>
    </row>
    <row r="1408" spans="2:15" ht="23.25" x14ac:dyDescent="0.35">
      <c r="B1408" s="29" t="s">
        <v>334</v>
      </c>
      <c r="C1408" s="36" t="s">
        <v>174</v>
      </c>
      <c r="D1408" s="36"/>
      <c r="E1408" s="36"/>
      <c r="F1408" s="36"/>
      <c r="G1408" s="36"/>
      <c r="H1408" s="36"/>
      <c r="I1408" s="36"/>
      <c r="J1408" s="36"/>
    </row>
    <row r="1409" spans="2:15" ht="18.75" x14ac:dyDescent="0.3">
      <c r="B1409" s="12" t="s">
        <v>335</v>
      </c>
      <c r="C1409" s="195" t="s">
        <v>336</v>
      </c>
      <c r="D1409" s="228" t="s">
        <v>427</v>
      </c>
      <c r="E1409" s="228"/>
      <c r="F1409" s="1" t="s">
        <v>2096</v>
      </c>
      <c r="L1409" s="12" t="s">
        <v>339</v>
      </c>
      <c r="M1409" s="6" t="s">
        <v>173</v>
      </c>
    </row>
    <row r="1411" spans="2:15" x14ac:dyDescent="0.25">
      <c r="B1411" s="2" t="s">
        <v>341</v>
      </c>
      <c r="C1411" s="250" t="s">
        <v>342</v>
      </c>
      <c r="D1411" s="250"/>
      <c r="E1411" s="250" t="s">
        <v>343</v>
      </c>
      <c r="F1411" s="250"/>
      <c r="G1411" s="250" t="s">
        <v>954</v>
      </c>
      <c r="H1411" s="250"/>
      <c r="I1411" s="228" t="s">
        <v>345</v>
      </c>
      <c r="J1411" s="228"/>
      <c r="K1411" s="228"/>
      <c r="L1411" s="228"/>
      <c r="M1411" s="228"/>
      <c r="O1411" s="101" t="s">
        <v>732</v>
      </c>
    </row>
    <row r="1412" spans="2:15" x14ac:dyDescent="0.25">
      <c r="C1412" s="251"/>
      <c r="D1412" s="251"/>
      <c r="E1412" s="251"/>
      <c r="F1412" s="251"/>
      <c r="G1412" s="251"/>
      <c r="H1412" s="251"/>
      <c r="I1412" s="7"/>
      <c r="J1412" s="7"/>
      <c r="K1412" s="7"/>
      <c r="L1412" s="7"/>
      <c r="M1412" s="7"/>
    </row>
    <row r="1413" spans="2:15" x14ac:dyDescent="0.25">
      <c r="B1413" s="11" t="s">
        <v>2360</v>
      </c>
      <c r="C1413" s="252" t="s">
        <v>1701</v>
      </c>
      <c r="D1413" s="252"/>
      <c r="E1413" s="252" t="s">
        <v>390</v>
      </c>
      <c r="F1413" s="252"/>
      <c r="G1413" s="252" t="s">
        <v>1325</v>
      </c>
      <c r="H1413" s="252"/>
      <c r="I1413" s="14" t="s">
        <v>2361</v>
      </c>
      <c r="J1413" s="14"/>
      <c r="K1413" s="7"/>
      <c r="L1413" s="7"/>
      <c r="M1413" s="7"/>
      <c r="O1413" s="98">
        <v>2.5000000000000001E-3</v>
      </c>
    </row>
    <row r="1414" spans="2:15" x14ac:dyDescent="0.25">
      <c r="B1414" s="11"/>
      <c r="C1414" s="188"/>
      <c r="D1414" s="188"/>
      <c r="E1414" s="188"/>
      <c r="F1414" s="188"/>
      <c r="G1414" s="188"/>
      <c r="H1414" s="188"/>
      <c r="I1414" s="14" t="s">
        <v>2362</v>
      </c>
      <c r="J1414" s="14"/>
      <c r="K1414" s="7"/>
      <c r="L1414" s="7"/>
      <c r="M1414" s="7"/>
      <c r="O1414" s="98"/>
    </row>
    <row r="1415" spans="2:15" x14ac:dyDescent="0.25">
      <c r="B1415" s="1" t="s">
        <v>2363</v>
      </c>
      <c r="C1415" s="253" t="s">
        <v>1234</v>
      </c>
      <c r="D1415" s="253"/>
      <c r="E1415" s="253" t="s">
        <v>1235</v>
      </c>
      <c r="F1415" s="253"/>
      <c r="G1415" s="253" t="s">
        <v>787</v>
      </c>
      <c r="H1415" s="253"/>
      <c r="I1415" s="14" t="s">
        <v>2364</v>
      </c>
      <c r="J1415" s="14"/>
      <c r="K1415" s="7"/>
      <c r="L1415" s="7"/>
      <c r="M1415" s="7"/>
      <c r="O1415" s="98">
        <v>7.3769999999999999E-3</v>
      </c>
    </row>
    <row r="1416" spans="2:15" x14ac:dyDescent="0.25">
      <c r="B1416" s="1"/>
      <c r="C1416" s="253"/>
      <c r="D1416" s="253"/>
      <c r="E1416" s="253"/>
      <c r="F1416" s="253"/>
      <c r="G1416" s="253"/>
      <c r="H1416" s="253"/>
      <c r="I1416" s="14" t="s">
        <v>2365</v>
      </c>
      <c r="J1416" s="14"/>
      <c r="K1416" s="7"/>
      <c r="L1416" s="7"/>
      <c r="M1416" s="7"/>
      <c r="O1416" s="98"/>
    </row>
    <row r="1417" spans="2:15" x14ac:dyDescent="0.25">
      <c r="B1417" s="11" t="s">
        <v>2366</v>
      </c>
      <c r="C1417" s="252" t="s">
        <v>399</v>
      </c>
      <c r="D1417" s="252"/>
      <c r="E1417" s="252" t="s">
        <v>400</v>
      </c>
      <c r="F1417" s="252"/>
      <c r="G1417" s="252" t="s">
        <v>1019</v>
      </c>
      <c r="H1417" s="252"/>
      <c r="I1417" s="14" t="s">
        <v>2367</v>
      </c>
      <c r="J1417" s="14"/>
      <c r="K1417" s="7"/>
      <c r="L1417" s="7"/>
      <c r="M1417" s="7"/>
      <c r="O1417" s="98">
        <v>1.5939999999999999E-2</v>
      </c>
    </row>
    <row r="1418" spans="2:15" x14ac:dyDescent="0.25">
      <c r="B1418" s="11"/>
      <c r="C1418" s="252"/>
      <c r="D1418" s="252"/>
      <c r="E1418" s="252"/>
      <c r="F1418" s="252"/>
      <c r="G1418" s="252"/>
      <c r="H1418" s="252"/>
      <c r="I1418" s="14" t="s">
        <v>2368</v>
      </c>
      <c r="J1418" s="14"/>
      <c r="K1418" s="7"/>
      <c r="L1418" s="7"/>
      <c r="M1418" s="7"/>
      <c r="O1418" s="98"/>
    </row>
    <row r="1419" spans="2:15" x14ac:dyDescent="0.25">
      <c r="B1419" s="1" t="s">
        <v>2369</v>
      </c>
      <c r="C1419" s="253" t="s">
        <v>382</v>
      </c>
      <c r="D1419" s="253"/>
      <c r="E1419" s="253" t="s">
        <v>375</v>
      </c>
      <c r="F1419" s="253"/>
      <c r="G1419" s="253" t="s">
        <v>383</v>
      </c>
      <c r="H1419" s="253"/>
      <c r="I1419" s="14" t="s">
        <v>2370</v>
      </c>
      <c r="J1419" s="14"/>
      <c r="K1419" s="7"/>
      <c r="L1419" s="7"/>
      <c r="M1419" s="7"/>
      <c r="O1419" s="98">
        <v>5.3999999999999999E-2</v>
      </c>
    </row>
    <row r="1420" spans="2:15" x14ac:dyDescent="0.25">
      <c r="B1420" s="1"/>
      <c r="C1420" s="189"/>
      <c r="D1420" s="189"/>
      <c r="E1420" s="189"/>
      <c r="F1420" s="189"/>
      <c r="G1420" s="189"/>
      <c r="H1420" s="189"/>
      <c r="I1420" s="14" t="s">
        <v>2371</v>
      </c>
      <c r="J1420" s="14"/>
      <c r="K1420" s="7"/>
      <c r="L1420" s="7"/>
      <c r="M1420" s="7"/>
      <c r="O1420" s="98"/>
    </row>
    <row r="1421" spans="2:15" x14ac:dyDescent="0.25">
      <c r="B1421" s="11" t="s">
        <v>1710</v>
      </c>
      <c r="C1421" s="252" t="s">
        <v>1822</v>
      </c>
      <c r="D1421" s="252"/>
      <c r="E1421" s="252" t="s">
        <v>2372</v>
      </c>
      <c r="F1421" s="252"/>
      <c r="G1421" s="252" t="s">
        <v>786</v>
      </c>
      <c r="H1421" s="252"/>
      <c r="I1421" s="14" t="s">
        <v>2373</v>
      </c>
      <c r="J1421" s="14"/>
      <c r="K1421" s="7"/>
      <c r="L1421" s="7"/>
      <c r="M1421" s="7"/>
      <c r="O1421" s="98">
        <v>1.0200000000000001E-2</v>
      </c>
    </row>
    <row r="1422" spans="2:15" x14ac:dyDescent="0.25">
      <c r="B1422" s="11"/>
      <c r="C1422" s="188"/>
      <c r="D1422" s="188"/>
      <c r="E1422" s="188"/>
      <c r="F1422" s="188"/>
      <c r="G1422" s="188"/>
      <c r="H1422" s="188"/>
      <c r="I1422" s="14" t="s">
        <v>2374</v>
      </c>
      <c r="J1422" s="14"/>
      <c r="K1422" s="7"/>
      <c r="L1422" s="7"/>
      <c r="M1422" s="7"/>
      <c r="O1422" s="98"/>
    </row>
    <row r="1423" spans="2:15" x14ac:dyDescent="0.25">
      <c r="B1423" s="1" t="s">
        <v>1966</v>
      </c>
      <c r="C1423" s="253" t="s">
        <v>1234</v>
      </c>
      <c r="D1423" s="253"/>
      <c r="E1423" s="253" t="s">
        <v>1235</v>
      </c>
      <c r="F1423" s="253"/>
      <c r="G1423" s="253" t="s">
        <v>787</v>
      </c>
      <c r="H1423" s="253"/>
      <c r="I1423" s="14" t="s">
        <v>2375</v>
      </c>
      <c r="J1423" s="14"/>
      <c r="K1423" s="7"/>
      <c r="L1423" s="7"/>
      <c r="M1423" s="7"/>
      <c r="O1423" s="98">
        <v>1.7299999999999999E-2</v>
      </c>
    </row>
    <row r="1424" spans="2:15" x14ac:dyDescent="0.25">
      <c r="B1424" s="1"/>
      <c r="C1424" s="189"/>
      <c r="D1424" s="189"/>
      <c r="E1424" s="189"/>
      <c r="F1424" s="189"/>
      <c r="G1424" s="189"/>
      <c r="H1424" s="189"/>
      <c r="I1424" s="14" t="s">
        <v>2376</v>
      </c>
      <c r="J1424" s="14"/>
      <c r="K1424" s="7"/>
      <c r="L1424" s="7"/>
      <c r="M1424" s="7"/>
      <c r="O1424" s="98"/>
    </row>
    <row r="1425" spans="2:15" x14ac:dyDescent="0.25">
      <c r="B1425" s="11" t="s">
        <v>2163</v>
      </c>
      <c r="C1425" s="265" t="s">
        <v>1234</v>
      </c>
      <c r="D1425" s="265"/>
      <c r="E1425" s="265" t="s">
        <v>1235</v>
      </c>
      <c r="F1425" s="265"/>
      <c r="G1425" s="265" t="s">
        <v>787</v>
      </c>
      <c r="H1425" s="265"/>
      <c r="I1425" s="14" t="s">
        <v>2377</v>
      </c>
      <c r="J1425" s="14"/>
      <c r="K1425" s="7"/>
      <c r="L1425" s="7"/>
      <c r="M1425" s="7"/>
      <c r="O1425" s="98">
        <v>7.9699999999999993E-2</v>
      </c>
    </row>
    <row r="1426" spans="2:15" x14ac:dyDescent="0.25">
      <c r="B1426" s="11"/>
      <c r="C1426" s="188"/>
      <c r="D1426" s="188"/>
      <c r="E1426" s="188"/>
      <c r="F1426" s="188"/>
      <c r="G1426" s="188"/>
      <c r="H1426" s="188"/>
      <c r="I1426" s="14" t="s">
        <v>1749</v>
      </c>
      <c r="J1426" s="14"/>
      <c r="O1426" s="98"/>
    </row>
    <row r="1427" spans="2:15" x14ac:dyDescent="0.25">
      <c r="B1427" s="1" t="s">
        <v>1952</v>
      </c>
      <c r="C1427" s="253" t="s">
        <v>1717</v>
      </c>
      <c r="D1427" s="253"/>
      <c r="E1427" s="253" t="s">
        <v>1718</v>
      </c>
      <c r="F1427" s="253"/>
      <c r="G1427" s="253" t="s">
        <v>1960</v>
      </c>
      <c r="H1427" s="253"/>
      <c r="I1427" s="14" t="s">
        <v>2378</v>
      </c>
      <c r="J1427" s="14"/>
      <c r="O1427" s="98">
        <v>1.1999999999999999E-3</v>
      </c>
    </row>
    <row r="1428" spans="2:15" x14ac:dyDescent="0.25">
      <c r="B1428" s="1"/>
      <c r="C1428" s="253"/>
      <c r="D1428" s="253"/>
      <c r="E1428" s="253"/>
      <c r="F1428" s="253"/>
      <c r="G1428" s="253"/>
      <c r="H1428" s="253"/>
      <c r="I1428" s="64" t="s">
        <v>2379</v>
      </c>
      <c r="J1428" s="14"/>
      <c r="O1428" s="98"/>
    </row>
    <row r="1429" spans="2:15" x14ac:dyDescent="0.25">
      <c r="B1429" s="11" t="s">
        <v>397</v>
      </c>
      <c r="C1429" s="252" t="s">
        <v>2380</v>
      </c>
      <c r="D1429" s="252"/>
      <c r="E1429" s="252" t="s">
        <v>2381</v>
      </c>
      <c r="F1429" s="252"/>
      <c r="G1429" s="252" t="s">
        <v>2382</v>
      </c>
      <c r="H1429" s="252"/>
      <c r="J1429" s="14"/>
      <c r="O1429" s="98">
        <v>0</v>
      </c>
    </row>
    <row r="1430" spans="2:15" x14ac:dyDescent="0.25">
      <c r="B1430" s="11"/>
      <c r="C1430" s="188"/>
      <c r="D1430" s="188"/>
      <c r="E1430" s="188"/>
      <c r="F1430" s="188"/>
      <c r="G1430" s="188"/>
      <c r="H1430" s="188"/>
      <c r="I1430" s="14" t="s">
        <v>2383</v>
      </c>
      <c r="J1430" s="14"/>
      <c r="O1430" s="98"/>
    </row>
    <row r="1431" spans="2:15" x14ac:dyDescent="0.25">
      <c r="B1431" s="1" t="s">
        <v>2384</v>
      </c>
      <c r="C1431" s="253" t="s">
        <v>597</v>
      </c>
      <c r="D1431" s="253"/>
      <c r="E1431" s="253" t="s">
        <v>1356</v>
      </c>
      <c r="F1431" s="253"/>
      <c r="G1431" s="253" t="s">
        <v>2385</v>
      </c>
      <c r="H1431" s="253"/>
      <c r="I1431" s="14" t="s">
        <v>2386</v>
      </c>
      <c r="J1431" s="14"/>
      <c r="O1431" s="98">
        <v>6.5000000000000002E-2</v>
      </c>
    </row>
    <row r="1432" spans="2:15" x14ac:dyDescent="0.25">
      <c r="B1432" s="1" t="s">
        <v>2387</v>
      </c>
      <c r="C1432" s="189"/>
      <c r="D1432" s="189"/>
      <c r="E1432" s="189"/>
      <c r="F1432" s="189"/>
      <c r="G1432" s="189"/>
      <c r="H1432" s="189"/>
      <c r="I1432" s="14"/>
      <c r="J1432" s="14"/>
      <c r="O1432" s="98"/>
    </row>
    <row r="1433" spans="2:15" x14ac:dyDescent="0.25">
      <c r="B1433" s="11" t="s">
        <v>397</v>
      </c>
      <c r="C1433" s="252" t="s">
        <v>2388</v>
      </c>
      <c r="D1433" s="252"/>
      <c r="E1433" s="252" t="s">
        <v>2389</v>
      </c>
      <c r="F1433" s="252"/>
      <c r="G1433" s="252" t="s">
        <v>1320</v>
      </c>
      <c r="H1433" s="252"/>
      <c r="I1433" s="14"/>
      <c r="J1433" s="14"/>
      <c r="O1433" s="98">
        <v>0</v>
      </c>
    </row>
    <row r="1434" spans="2:15" x14ac:dyDescent="0.25">
      <c r="B1434" s="11"/>
      <c r="C1434" s="188"/>
      <c r="D1434" s="188"/>
      <c r="E1434" s="188"/>
      <c r="F1434" s="188"/>
      <c r="G1434" s="188"/>
      <c r="H1434" s="188"/>
      <c r="J1434" s="14"/>
      <c r="O1434" s="98"/>
    </row>
    <row r="1435" spans="2:15" x14ac:dyDescent="0.25">
      <c r="B1435" s="1" t="s">
        <v>2390</v>
      </c>
      <c r="C1435" s="253" t="s">
        <v>653</v>
      </c>
      <c r="D1435" s="253"/>
      <c r="E1435" s="253" t="s">
        <v>851</v>
      </c>
      <c r="F1435" s="253"/>
      <c r="G1435" s="253" t="s">
        <v>966</v>
      </c>
      <c r="H1435" s="253"/>
      <c r="I1435" s="14"/>
      <c r="J1435" s="14"/>
      <c r="O1435" s="98">
        <v>0.03</v>
      </c>
    </row>
    <row r="1436" spans="2:15" x14ac:dyDescent="0.25">
      <c r="B1436" s="1" t="s">
        <v>2391</v>
      </c>
      <c r="C1436" s="189"/>
      <c r="D1436" s="189"/>
      <c r="E1436" s="189"/>
      <c r="F1436" s="189"/>
      <c r="G1436" s="189"/>
      <c r="H1436" s="189"/>
      <c r="I1436" s="14"/>
      <c r="J1436" s="14"/>
      <c r="O1436" s="98"/>
    </row>
    <row r="1437" spans="2:15" x14ac:dyDescent="0.25">
      <c r="B1437" s="11" t="s">
        <v>2392</v>
      </c>
      <c r="C1437" s="252" t="s">
        <v>851</v>
      </c>
      <c r="D1437" s="252"/>
      <c r="E1437" s="252" t="s">
        <v>1658</v>
      </c>
      <c r="F1437" s="252"/>
      <c r="G1437" s="252" t="s">
        <v>1591</v>
      </c>
      <c r="H1437" s="252"/>
      <c r="J1437" s="14"/>
      <c r="O1437" s="98">
        <v>1.49E-2</v>
      </c>
    </row>
    <row r="1438" spans="2:15" x14ac:dyDescent="0.25">
      <c r="B1438" s="11"/>
      <c r="C1438" s="188"/>
      <c r="D1438" s="188"/>
      <c r="E1438" s="188"/>
      <c r="F1438" s="188"/>
      <c r="G1438" s="188"/>
      <c r="H1438" s="188"/>
      <c r="J1438" s="14"/>
      <c r="O1438" s="98"/>
    </row>
    <row r="1439" spans="2:15" x14ac:dyDescent="0.25">
      <c r="B1439" s="1" t="s">
        <v>2393</v>
      </c>
      <c r="C1439" s="253" t="s">
        <v>1354</v>
      </c>
      <c r="D1439" s="253"/>
      <c r="E1439" s="253" t="s">
        <v>1355</v>
      </c>
      <c r="F1439" s="253"/>
      <c r="G1439" s="253" t="s">
        <v>2394</v>
      </c>
      <c r="H1439" s="253"/>
      <c r="J1439" s="14"/>
      <c r="O1439" s="98">
        <v>0.19</v>
      </c>
    </row>
    <row r="1440" spans="2:15" x14ac:dyDescent="0.25">
      <c r="I1440" s="64"/>
      <c r="J1440" s="14"/>
      <c r="O1440" s="98"/>
    </row>
    <row r="1441" spans="2:17" x14ac:dyDescent="0.25">
      <c r="B1441" s="11" t="s">
        <v>2395</v>
      </c>
      <c r="C1441" s="252" t="s">
        <v>1234</v>
      </c>
      <c r="D1441" s="252"/>
      <c r="E1441" s="252" t="s">
        <v>1235</v>
      </c>
      <c r="F1441" s="252"/>
      <c r="G1441" s="252" t="s">
        <v>787</v>
      </c>
      <c r="H1441" s="252"/>
      <c r="I1441" s="64"/>
      <c r="J1441" s="14"/>
      <c r="O1441" s="98">
        <v>1.65E-3</v>
      </c>
    </row>
    <row r="1442" spans="2:17" x14ac:dyDescent="0.25">
      <c r="B1442" s="11" t="s">
        <v>2396</v>
      </c>
      <c r="C1442" s="188"/>
      <c r="D1442" s="188"/>
      <c r="E1442" s="188"/>
      <c r="F1442" s="188"/>
      <c r="G1442" s="188"/>
      <c r="H1442" s="188"/>
      <c r="I1442" s="64"/>
      <c r="J1442" s="14"/>
      <c r="O1442" s="98"/>
      <c r="Q1442" t="s">
        <v>2397</v>
      </c>
    </row>
    <row r="1443" spans="2:17" x14ac:dyDescent="0.25">
      <c r="B1443" s="274" t="s">
        <v>401</v>
      </c>
      <c r="C1443" s="275"/>
      <c r="D1443" s="275"/>
      <c r="E1443" s="275"/>
      <c r="F1443" s="275"/>
      <c r="G1443" s="275"/>
      <c r="H1443" s="275"/>
      <c r="I1443" s="275"/>
      <c r="J1443" s="275"/>
      <c r="K1443" s="275"/>
      <c r="L1443" s="275"/>
      <c r="M1443" s="276"/>
      <c r="O1443" s="100">
        <f>SUM(O1413:O1442)</f>
        <v>0.48976700000000006</v>
      </c>
      <c r="P1443" s="9"/>
      <c r="Q1443" s="100">
        <f>SUM(O1443-O1439)</f>
        <v>0.29976700000000006</v>
      </c>
    </row>
    <row r="1444" spans="2:17" x14ac:dyDescent="0.25">
      <c r="B1444" s="3" t="s">
        <v>402</v>
      </c>
      <c r="C1444" s="232" t="s">
        <v>403</v>
      </c>
      <c r="D1444" s="232"/>
      <c r="E1444" s="232" t="s">
        <v>467</v>
      </c>
      <c r="F1444" s="232"/>
      <c r="G1444" s="232" t="s">
        <v>405</v>
      </c>
      <c r="H1444" s="232"/>
      <c r="I1444" s="234" t="s">
        <v>406</v>
      </c>
      <c r="J1444" s="277"/>
      <c r="K1444" s="234" t="s">
        <v>468</v>
      </c>
      <c r="L1444" s="235"/>
      <c r="M1444" s="236"/>
    </row>
    <row r="1445" spans="2:17" ht="15.75" thickBot="1" x14ac:dyDescent="0.3">
      <c r="B1445" s="5" t="s">
        <v>2398</v>
      </c>
      <c r="C1445" s="237">
        <v>1.94</v>
      </c>
      <c r="D1445" s="238"/>
      <c r="E1445" s="239">
        <v>0.13400000000000001</v>
      </c>
      <c r="F1445" s="238"/>
      <c r="G1445" s="240">
        <v>0.185</v>
      </c>
      <c r="H1445" s="240"/>
      <c r="I1445" s="242"/>
      <c r="J1445" s="278"/>
      <c r="K1445" s="242"/>
      <c r="L1445" s="243"/>
      <c r="M1445" s="244"/>
    </row>
    <row r="1446" spans="2:17" ht="15.75" thickBot="1" x14ac:dyDescent="0.3">
      <c r="B1446" s="1"/>
      <c r="C1446" s="1"/>
      <c r="D1446" s="1"/>
      <c r="E1446" s="1"/>
      <c r="F1446" s="1"/>
      <c r="G1446" s="1"/>
      <c r="H1446" s="1"/>
    </row>
    <row r="1447" spans="2:17" x14ac:dyDescent="0.25">
      <c r="B1447" s="274" t="s">
        <v>408</v>
      </c>
      <c r="C1447" s="275"/>
      <c r="D1447" s="275"/>
      <c r="E1447" s="275"/>
      <c r="F1447" s="275"/>
      <c r="G1447" s="275"/>
      <c r="H1447" s="275"/>
      <c r="I1447" s="275"/>
      <c r="J1447" s="275"/>
      <c r="K1447" s="275"/>
      <c r="L1447" s="275"/>
      <c r="M1447" s="276"/>
    </row>
    <row r="1448" spans="2:17" x14ac:dyDescent="0.25">
      <c r="B1448" s="3" t="s">
        <v>2399</v>
      </c>
      <c r="C1448" s="232" t="s">
        <v>2400</v>
      </c>
      <c r="D1448" s="232"/>
      <c r="E1448" s="268" t="s">
        <v>2401</v>
      </c>
      <c r="F1448" s="268"/>
      <c r="G1448" s="233" t="s">
        <v>2402</v>
      </c>
      <c r="H1448" s="233"/>
      <c r="I1448" s="234" t="s">
        <v>2403</v>
      </c>
      <c r="J1448" s="277"/>
      <c r="K1448" s="232" t="s">
        <v>2404</v>
      </c>
      <c r="L1448" s="232"/>
      <c r="M1448" s="269"/>
    </row>
    <row r="1449" spans="2:17" ht="15.75" thickBot="1" x14ac:dyDescent="0.3">
      <c r="B1449" s="5" t="s">
        <v>2405</v>
      </c>
      <c r="C1449" s="240" t="s">
        <v>2406</v>
      </c>
      <c r="D1449" s="240"/>
      <c r="E1449" s="240" t="s">
        <v>2407</v>
      </c>
      <c r="F1449" s="240"/>
      <c r="G1449" s="240" t="s">
        <v>2408</v>
      </c>
      <c r="H1449" s="240"/>
      <c r="I1449" s="281" t="s">
        <v>2409</v>
      </c>
      <c r="J1449" s="282"/>
      <c r="K1449" s="240" t="s">
        <v>2410</v>
      </c>
      <c r="L1449" s="240"/>
      <c r="M1449" s="267"/>
    </row>
    <row r="1451" spans="2:17" ht="23.25" x14ac:dyDescent="0.35">
      <c r="B1451" s="29" t="s">
        <v>334</v>
      </c>
      <c r="C1451" s="36" t="s">
        <v>132</v>
      </c>
      <c r="D1451" s="36"/>
      <c r="E1451" s="36"/>
      <c r="F1451" s="36"/>
      <c r="G1451" s="36"/>
      <c r="H1451" s="36"/>
      <c r="I1451" s="36"/>
      <c r="J1451" s="36"/>
    </row>
    <row r="1452" spans="2:17" ht="18.75" x14ac:dyDescent="0.3">
      <c r="B1452" s="12" t="s">
        <v>335</v>
      </c>
      <c r="C1452" s="195" t="s">
        <v>336</v>
      </c>
      <c r="D1452" s="228" t="s">
        <v>427</v>
      </c>
      <c r="E1452" s="228"/>
      <c r="F1452" s="1" t="s">
        <v>2411</v>
      </c>
      <c r="L1452" s="12" t="s">
        <v>339</v>
      </c>
      <c r="M1452" s="6" t="s">
        <v>131</v>
      </c>
    </row>
    <row r="1454" spans="2:17" x14ac:dyDescent="0.25">
      <c r="B1454" s="2" t="s">
        <v>341</v>
      </c>
      <c r="C1454" s="250" t="s">
        <v>342</v>
      </c>
      <c r="D1454" s="250"/>
      <c r="E1454" s="250" t="s">
        <v>343</v>
      </c>
      <c r="F1454" s="250"/>
      <c r="G1454" s="250" t="s">
        <v>954</v>
      </c>
      <c r="H1454" s="250"/>
      <c r="I1454" s="228" t="s">
        <v>345</v>
      </c>
      <c r="J1454" s="228"/>
      <c r="K1454" s="228"/>
      <c r="L1454" s="228"/>
      <c r="M1454" s="228"/>
      <c r="O1454" s="101" t="s">
        <v>732</v>
      </c>
    </row>
    <row r="1455" spans="2:17" x14ac:dyDescent="0.25">
      <c r="C1455" s="251"/>
      <c r="D1455" s="251"/>
      <c r="E1455" s="251"/>
      <c r="F1455" s="251"/>
      <c r="G1455" s="251"/>
      <c r="H1455" s="251"/>
      <c r="I1455" s="7"/>
      <c r="J1455" s="7"/>
      <c r="K1455" s="7"/>
      <c r="L1455" s="7"/>
      <c r="M1455" s="7"/>
    </row>
    <row r="1456" spans="2:17" x14ac:dyDescent="0.25">
      <c r="B1456" s="11" t="s">
        <v>1743</v>
      </c>
      <c r="C1456" s="252" t="s">
        <v>2412</v>
      </c>
      <c r="D1456" s="252"/>
      <c r="E1456" s="252" t="s">
        <v>1986</v>
      </c>
      <c r="F1456" s="252"/>
      <c r="G1456" s="252" t="s">
        <v>1987</v>
      </c>
      <c r="H1456" s="252"/>
      <c r="I1456" s="14" t="s">
        <v>2413</v>
      </c>
      <c r="J1456" s="14"/>
      <c r="K1456" s="14"/>
      <c r="L1456" s="7"/>
      <c r="M1456" s="7"/>
      <c r="O1456" s="98">
        <v>0.11</v>
      </c>
    </row>
    <row r="1457" spans="2:15" x14ac:dyDescent="0.25">
      <c r="B1457" s="11" t="s">
        <v>2414</v>
      </c>
      <c r="C1457" s="188"/>
      <c r="D1457" s="188"/>
      <c r="E1457" s="188"/>
      <c r="F1457" s="188"/>
      <c r="G1457" s="188"/>
      <c r="H1457" s="188"/>
      <c r="I1457" s="14" t="s">
        <v>2415</v>
      </c>
      <c r="J1457" s="14"/>
      <c r="L1457" s="7"/>
      <c r="M1457" s="7"/>
      <c r="O1457" s="98"/>
    </row>
    <row r="1458" spans="2:15" x14ac:dyDescent="0.25">
      <c r="B1458" s="1" t="s">
        <v>2416</v>
      </c>
      <c r="C1458" s="253" t="s">
        <v>1312</v>
      </c>
      <c r="D1458" s="253"/>
      <c r="E1458" s="253" t="s">
        <v>2417</v>
      </c>
      <c r="F1458" s="253"/>
      <c r="G1458" s="253" t="s">
        <v>2418</v>
      </c>
      <c r="H1458" s="253"/>
      <c r="I1458" s="14" t="s">
        <v>2419</v>
      </c>
      <c r="J1458" s="14"/>
      <c r="K1458" s="14"/>
      <c r="L1458" s="7"/>
      <c r="M1458" s="7"/>
      <c r="O1458" s="98">
        <v>0.02</v>
      </c>
    </row>
    <row r="1459" spans="2:15" x14ac:dyDescent="0.25">
      <c r="B1459" s="1" t="s">
        <v>2420</v>
      </c>
      <c r="C1459" s="253"/>
      <c r="D1459" s="253"/>
      <c r="E1459" s="253"/>
      <c r="F1459" s="253"/>
      <c r="G1459" s="253"/>
      <c r="H1459" s="253"/>
      <c r="I1459" s="14" t="s">
        <v>2421</v>
      </c>
      <c r="J1459" s="14"/>
      <c r="K1459" s="14"/>
      <c r="L1459" s="7"/>
      <c r="M1459" s="7"/>
      <c r="O1459" s="98"/>
    </row>
    <row r="1460" spans="2:15" x14ac:dyDescent="0.25">
      <c r="B1460" s="11" t="s">
        <v>889</v>
      </c>
      <c r="C1460" s="252" t="s">
        <v>1701</v>
      </c>
      <c r="D1460" s="252"/>
      <c r="E1460" s="252" t="s">
        <v>390</v>
      </c>
      <c r="F1460" s="252"/>
      <c r="G1460" s="252" t="s">
        <v>1326</v>
      </c>
      <c r="H1460" s="252"/>
      <c r="I1460" s="14" t="s">
        <v>2422</v>
      </c>
      <c r="J1460" s="14"/>
      <c r="L1460" s="7"/>
      <c r="M1460" s="7"/>
      <c r="O1460" s="98">
        <v>6.3E-3</v>
      </c>
    </row>
    <row r="1461" spans="2:15" x14ac:dyDescent="0.25">
      <c r="B1461" s="11"/>
      <c r="C1461" s="252"/>
      <c r="D1461" s="252"/>
      <c r="E1461" s="252"/>
      <c r="F1461" s="252"/>
      <c r="G1461" s="252"/>
      <c r="H1461" s="252"/>
      <c r="I1461" s="14" t="s">
        <v>2423</v>
      </c>
      <c r="J1461" s="14"/>
      <c r="K1461" s="14"/>
      <c r="L1461" s="7"/>
      <c r="M1461" s="7"/>
      <c r="O1461" s="98"/>
    </row>
    <row r="1462" spans="2:15" x14ac:dyDescent="0.25">
      <c r="B1462" s="1" t="s">
        <v>1046</v>
      </c>
      <c r="C1462" s="253" t="s">
        <v>1717</v>
      </c>
      <c r="D1462" s="253"/>
      <c r="E1462" s="253" t="s">
        <v>1718</v>
      </c>
      <c r="F1462" s="253"/>
      <c r="G1462" s="253" t="s">
        <v>1960</v>
      </c>
      <c r="H1462" s="253"/>
      <c r="I1462" s="14" t="s">
        <v>2424</v>
      </c>
      <c r="J1462" s="14"/>
      <c r="K1462" s="14"/>
      <c r="L1462" s="7"/>
      <c r="M1462" s="7"/>
      <c r="O1462" s="102">
        <v>2.3999999999999998E-3</v>
      </c>
    </row>
    <row r="1463" spans="2:15" x14ac:dyDescent="0.25">
      <c r="B1463" s="1"/>
      <c r="C1463" s="189"/>
      <c r="D1463" s="189"/>
      <c r="E1463" s="189"/>
      <c r="F1463" s="189"/>
      <c r="G1463" s="189"/>
      <c r="H1463" s="189"/>
      <c r="I1463" s="14" t="s">
        <v>2425</v>
      </c>
      <c r="J1463" s="14"/>
      <c r="K1463" s="14"/>
      <c r="L1463" s="7"/>
      <c r="M1463" s="7"/>
      <c r="O1463" s="98"/>
    </row>
    <row r="1464" spans="2:15" x14ac:dyDescent="0.25">
      <c r="B1464" s="11" t="s">
        <v>2426</v>
      </c>
      <c r="C1464" s="252" t="s">
        <v>524</v>
      </c>
      <c r="D1464" s="252"/>
      <c r="E1464" s="252" t="s">
        <v>391</v>
      </c>
      <c r="F1464" s="252"/>
      <c r="G1464" s="252" t="s">
        <v>392</v>
      </c>
      <c r="H1464" s="252"/>
      <c r="I1464" s="14" t="s">
        <v>2427</v>
      </c>
      <c r="J1464" s="14"/>
      <c r="L1464" s="7"/>
      <c r="M1464" s="7"/>
      <c r="O1464" s="98">
        <v>8.9999999999999993E-3</v>
      </c>
    </row>
    <row r="1465" spans="2:15" x14ac:dyDescent="0.25">
      <c r="B1465" s="11"/>
      <c r="C1465" s="188"/>
      <c r="D1465" s="188"/>
      <c r="E1465" s="188"/>
      <c r="F1465" s="188"/>
      <c r="G1465" s="188"/>
      <c r="H1465" s="188"/>
      <c r="I1465" s="14" t="s">
        <v>2428</v>
      </c>
      <c r="J1465" s="14"/>
      <c r="L1465" s="7"/>
      <c r="M1465" s="7"/>
      <c r="O1465" s="98"/>
    </row>
    <row r="1466" spans="2:15" x14ac:dyDescent="0.25">
      <c r="B1466" s="1" t="s">
        <v>2429</v>
      </c>
      <c r="C1466" s="253" t="s">
        <v>2430</v>
      </c>
      <c r="D1466" s="253"/>
      <c r="E1466" s="253" t="s">
        <v>2431</v>
      </c>
      <c r="F1466" s="253"/>
      <c r="G1466" s="253" t="s">
        <v>2432</v>
      </c>
      <c r="H1466" s="253"/>
      <c r="I1466" s="14" t="s">
        <v>2433</v>
      </c>
      <c r="J1466" s="14"/>
      <c r="K1466" s="14"/>
      <c r="L1466" s="7"/>
      <c r="M1466" s="7"/>
      <c r="O1466" s="98">
        <v>5.8999999999999997E-2</v>
      </c>
    </row>
    <row r="1467" spans="2:15" x14ac:dyDescent="0.25">
      <c r="B1467" s="1" t="s">
        <v>2434</v>
      </c>
      <c r="C1467" s="189"/>
      <c r="D1467" s="189"/>
      <c r="E1467" s="189"/>
      <c r="F1467" s="189"/>
      <c r="G1467" s="189"/>
      <c r="H1467" s="189"/>
      <c r="I1467" s="14" t="s">
        <v>2435</v>
      </c>
      <c r="J1467" s="14"/>
      <c r="K1467" s="14"/>
      <c r="L1467" s="7"/>
      <c r="M1467" s="7"/>
      <c r="O1467" s="98"/>
    </row>
    <row r="1468" spans="2:15" x14ac:dyDescent="0.25">
      <c r="B1468" s="11" t="s">
        <v>1207</v>
      </c>
      <c r="C1468" s="265" t="s">
        <v>1808</v>
      </c>
      <c r="D1468" s="265"/>
      <c r="E1468" s="265" t="s">
        <v>1386</v>
      </c>
      <c r="F1468" s="265"/>
      <c r="G1468" s="265" t="s">
        <v>1809</v>
      </c>
      <c r="H1468" s="265"/>
      <c r="I1468" s="14" t="s">
        <v>2436</v>
      </c>
      <c r="J1468" s="14"/>
      <c r="K1468" s="14"/>
      <c r="L1468" s="7"/>
      <c r="M1468" s="7"/>
      <c r="O1468" s="98">
        <v>2.8000000000000001E-2</v>
      </c>
    </row>
    <row r="1469" spans="2:15" x14ac:dyDescent="0.25">
      <c r="B1469" s="11" t="s">
        <v>2437</v>
      </c>
      <c r="C1469" s="188"/>
      <c r="D1469" s="188"/>
      <c r="E1469" s="188"/>
      <c r="F1469" s="188"/>
      <c r="G1469" s="188"/>
      <c r="H1469" s="188"/>
      <c r="I1469" s="14" t="s">
        <v>2438</v>
      </c>
      <c r="J1469" s="14"/>
      <c r="K1469" s="14"/>
      <c r="O1469" s="98"/>
    </row>
    <row r="1470" spans="2:15" x14ac:dyDescent="0.25">
      <c r="B1470" s="1" t="s">
        <v>397</v>
      </c>
      <c r="C1470" s="253" t="s">
        <v>2439</v>
      </c>
      <c r="D1470" s="253"/>
      <c r="E1470" s="253" t="s">
        <v>2440</v>
      </c>
      <c r="F1470" s="253"/>
      <c r="G1470" s="253" t="s">
        <v>2235</v>
      </c>
      <c r="H1470" s="253"/>
      <c r="I1470" s="14" t="s">
        <v>2441</v>
      </c>
      <c r="J1470" s="14"/>
      <c r="K1470" s="14"/>
      <c r="O1470" s="98">
        <v>0</v>
      </c>
    </row>
    <row r="1471" spans="2:15" x14ac:dyDescent="0.25">
      <c r="B1471" s="1"/>
      <c r="C1471" s="253"/>
      <c r="D1471" s="253"/>
      <c r="E1471" s="253"/>
      <c r="F1471" s="253"/>
      <c r="G1471" s="253"/>
      <c r="H1471" s="253"/>
      <c r="I1471" s="14" t="s">
        <v>2442</v>
      </c>
      <c r="J1471" s="14"/>
      <c r="K1471" s="14"/>
      <c r="O1471" s="98"/>
    </row>
    <row r="1472" spans="2:15" x14ac:dyDescent="0.25">
      <c r="B1472" s="11" t="s">
        <v>2443</v>
      </c>
      <c r="C1472" s="252" t="s">
        <v>390</v>
      </c>
      <c r="D1472" s="252"/>
      <c r="E1472" s="252" t="s">
        <v>2164</v>
      </c>
      <c r="F1472" s="252"/>
      <c r="G1472" s="252" t="s">
        <v>391</v>
      </c>
      <c r="H1472" s="252"/>
      <c r="I1472" s="14" t="s">
        <v>2444</v>
      </c>
      <c r="J1472" s="14"/>
      <c r="K1472" s="14"/>
      <c r="O1472" s="102">
        <v>2E-3</v>
      </c>
    </row>
    <row r="1473" spans="2:15" x14ac:dyDescent="0.25">
      <c r="B1473" s="11"/>
      <c r="C1473" s="188"/>
      <c r="D1473" s="188"/>
      <c r="E1473" s="188"/>
      <c r="F1473" s="188"/>
      <c r="G1473" s="188"/>
      <c r="H1473" s="188"/>
      <c r="I1473" s="14" t="s">
        <v>2445</v>
      </c>
      <c r="J1473" s="14"/>
      <c r="K1473" s="14"/>
      <c r="O1473" s="102"/>
    </row>
    <row r="1474" spans="2:15" x14ac:dyDescent="0.25">
      <c r="B1474" s="1" t="s">
        <v>2446</v>
      </c>
      <c r="C1474" s="253" t="s">
        <v>390</v>
      </c>
      <c r="D1474" s="253"/>
      <c r="E1474" s="253" t="s">
        <v>2164</v>
      </c>
      <c r="F1474" s="253"/>
      <c r="G1474" s="253" t="s">
        <v>391</v>
      </c>
      <c r="H1474" s="253"/>
      <c r="I1474" s="14" t="s">
        <v>2447</v>
      </c>
      <c r="J1474" s="14"/>
      <c r="O1474" s="102">
        <v>2E-3</v>
      </c>
    </row>
    <row r="1475" spans="2:15" x14ac:dyDescent="0.25">
      <c r="B1475" s="1"/>
      <c r="C1475" s="189"/>
      <c r="D1475" s="189"/>
      <c r="E1475" s="189"/>
      <c r="F1475" s="189"/>
      <c r="G1475" s="189"/>
      <c r="H1475" s="189"/>
      <c r="I1475" s="14"/>
      <c r="J1475" s="14" t="s">
        <v>2448</v>
      </c>
      <c r="O1475" s="102"/>
    </row>
    <row r="1476" spans="2:15" x14ac:dyDescent="0.25">
      <c r="B1476" s="11" t="s">
        <v>2449</v>
      </c>
      <c r="C1476" s="252" t="s">
        <v>882</v>
      </c>
      <c r="D1476" s="252"/>
      <c r="E1476" s="252" t="s">
        <v>1131</v>
      </c>
      <c r="F1476" s="252"/>
      <c r="G1476" s="252" t="s">
        <v>1026</v>
      </c>
      <c r="H1476" s="252"/>
      <c r="I1476" s="14" t="s">
        <v>2450</v>
      </c>
      <c r="J1476" s="14"/>
      <c r="K1476" s="14"/>
      <c r="O1476" s="102">
        <v>2.7499999999999998E-3</v>
      </c>
    </row>
    <row r="1477" spans="2:15" x14ac:dyDescent="0.25">
      <c r="B1477" s="11"/>
      <c r="C1477" s="188"/>
      <c r="D1477" s="188"/>
      <c r="E1477" s="188"/>
      <c r="F1477" s="188"/>
      <c r="G1477" s="188"/>
      <c r="H1477" s="188"/>
      <c r="I1477" s="14" t="s">
        <v>2451</v>
      </c>
      <c r="J1477" s="14"/>
      <c r="K1477" s="14"/>
      <c r="O1477" s="102"/>
    </row>
    <row r="1478" spans="2:15" x14ac:dyDescent="0.25">
      <c r="B1478" s="1" t="s">
        <v>2452</v>
      </c>
      <c r="C1478" s="253" t="s">
        <v>1717</v>
      </c>
      <c r="D1478" s="253"/>
      <c r="E1478" s="253" t="s">
        <v>1718</v>
      </c>
      <c r="F1478" s="253"/>
      <c r="G1478" s="253" t="s">
        <v>1960</v>
      </c>
      <c r="H1478" s="253"/>
      <c r="I1478" s="14" t="s">
        <v>2453</v>
      </c>
      <c r="J1478" s="14"/>
      <c r="K1478" s="14"/>
      <c r="O1478" s="103">
        <v>4.0000000000000002E-4</v>
      </c>
    </row>
    <row r="1479" spans="2:15" x14ac:dyDescent="0.25">
      <c r="B1479" s="1"/>
      <c r="C1479" s="189"/>
      <c r="D1479" s="189"/>
      <c r="E1479" s="189"/>
      <c r="F1479" s="189"/>
      <c r="G1479" s="189"/>
      <c r="H1479" s="189"/>
      <c r="I1479" s="14" t="s">
        <v>612</v>
      </c>
      <c r="J1479" s="14"/>
      <c r="K1479" s="14"/>
      <c r="O1479" s="102"/>
    </row>
    <row r="1480" spans="2:15" x14ac:dyDescent="0.25">
      <c r="B1480" s="11" t="s">
        <v>1041</v>
      </c>
      <c r="C1480" s="252" t="s">
        <v>390</v>
      </c>
      <c r="D1480" s="252"/>
      <c r="E1480" s="252" t="s">
        <v>2164</v>
      </c>
      <c r="F1480" s="252"/>
      <c r="G1480" s="252" t="s">
        <v>391</v>
      </c>
      <c r="H1480" s="252"/>
      <c r="I1480" s="14" t="s">
        <v>2454</v>
      </c>
      <c r="J1480" s="14"/>
      <c r="O1480" s="102">
        <v>1E-3</v>
      </c>
    </row>
    <row r="1481" spans="2:15" x14ac:dyDescent="0.25">
      <c r="B1481" s="11"/>
      <c r="C1481" s="188"/>
      <c r="D1481" s="188"/>
      <c r="E1481" s="188"/>
      <c r="F1481" s="188"/>
      <c r="G1481" s="188"/>
      <c r="H1481" s="188"/>
      <c r="I1481" s="64"/>
      <c r="J1481" s="14"/>
      <c r="O1481" s="102"/>
    </row>
    <row r="1482" spans="2:15" x14ac:dyDescent="0.25">
      <c r="B1482" s="1" t="s">
        <v>518</v>
      </c>
      <c r="C1482" s="253" t="s">
        <v>487</v>
      </c>
      <c r="D1482" s="253"/>
      <c r="E1482" s="253" t="s">
        <v>1026</v>
      </c>
      <c r="F1482" s="253"/>
      <c r="G1482" s="253" t="s">
        <v>1104</v>
      </c>
      <c r="H1482" s="253"/>
      <c r="I1482" s="64"/>
      <c r="J1482" s="14"/>
      <c r="O1482" s="103">
        <v>2.2000000000000001E-4</v>
      </c>
    </row>
    <row r="1483" spans="2:15" x14ac:dyDescent="0.25">
      <c r="B1483" s="1"/>
      <c r="C1483" s="189"/>
      <c r="D1483" s="189"/>
      <c r="E1483" s="189"/>
      <c r="F1483" s="189"/>
      <c r="G1483" s="189"/>
      <c r="H1483" s="189"/>
      <c r="I1483" s="64"/>
      <c r="J1483" s="14"/>
      <c r="O1483" s="98"/>
    </row>
    <row r="1484" spans="2:15" x14ac:dyDescent="0.25">
      <c r="B1484" s="11" t="s">
        <v>2455</v>
      </c>
      <c r="C1484" s="252" t="s">
        <v>1194</v>
      </c>
      <c r="D1484" s="252"/>
      <c r="E1484" s="252" t="s">
        <v>1109</v>
      </c>
      <c r="F1484" s="252"/>
      <c r="G1484" s="252" t="s">
        <v>1024</v>
      </c>
      <c r="H1484" s="252"/>
      <c r="I1484" s="64"/>
      <c r="J1484" s="14"/>
      <c r="O1484" s="98">
        <v>0.01</v>
      </c>
    </row>
    <row r="1485" spans="2:15" x14ac:dyDescent="0.25">
      <c r="B1485" s="11" t="s">
        <v>2456</v>
      </c>
      <c r="C1485" s="188"/>
      <c r="D1485" s="188"/>
      <c r="E1485" s="188"/>
      <c r="F1485" s="188"/>
      <c r="G1485" s="188"/>
      <c r="H1485" s="188"/>
      <c r="I1485" s="64"/>
      <c r="J1485" s="14"/>
      <c r="O1485" s="98"/>
    </row>
    <row r="1486" spans="2:15" x14ac:dyDescent="0.25">
      <c r="B1486" s="1" t="s">
        <v>2457</v>
      </c>
      <c r="C1486" s="253" t="s">
        <v>2458</v>
      </c>
      <c r="D1486" s="253"/>
      <c r="E1486" s="253" t="s">
        <v>2459</v>
      </c>
      <c r="F1486" s="253"/>
      <c r="G1486" s="253" t="s">
        <v>2460</v>
      </c>
      <c r="H1486" s="253"/>
      <c r="I1486" s="64"/>
      <c r="J1486" s="14"/>
      <c r="O1486" s="98">
        <v>0.13700000000000001</v>
      </c>
    </row>
    <row r="1487" spans="2:15" x14ac:dyDescent="0.25">
      <c r="B1487" s="1" t="s">
        <v>2461</v>
      </c>
      <c r="C1487" s="189"/>
      <c r="D1487" s="189"/>
      <c r="E1487" s="189"/>
      <c r="F1487" s="189"/>
      <c r="G1487" s="189"/>
      <c r="H1487" s="189"/>
      <c r="I1487" s="64"/>
      <c r="J1487" s="14"/>
      <c r="O1487" s="98"/>
    </row>
    <row r="1488" spans="2:15" x14ac:dyDescent="0.25">
      <c r="B1488" s="11" t="s">
        <v>2462</v>
      </c>
      <c r="C1488" s="252" t="s">
        <v>2463</v>
      </c>
      <c r="D1488" s="252"/>
      <c r="E1488" s="252" t="s">
        <v>2464</v>
      </c>
      <c r="F1488" s="252"/>
      <c r="G1488" s="252" t="s">
        <v>2465</v>
      </c>
      <c r="H1488" s="252"/>
      <c r="I1488" s="64"/>
      <c r="J1488" s="14"/>
      <c r="O1488" s="99">
        <f>'Misc(500-599)'!O56</f>
        <v>7.9100000000000004E-2</v>
      </c>
    </row>
    <row r="1489" spans="2:15" ht="15.75" thickBot="1" x14ac:dyDescent="0.3">
      <c r="B1489" s="11" t="s">
        <v>2466</v>
      </c>
      <c r="C1489" s="188"/>
      <c r="D1489" s="188"/>
      <c r="E1489" s="188"/>
      <c r="F1489" s="188"/>
      <c r="G1489" s="188"/>
      <c r="H1489" s="188"/>
      <c r="I1489" s="64"/>
      <c r="J1489" s="14"/>
      <c r="O1489" s="98"/>
    </row>
    <row r="1490" spans="2:15" x14ac:dyDescent="0.25">
      <c r="B1490" s="274" t="s">
        <v>401</v>
      </c>
      <c r="C1490" s="275"/>
      <c r="D1490" s="275"/>
      <c r="E1490" s="275"/>
      <c r="F1490" s="275"/>
      <c r="G1490" s="275"/>
      <c r="H1490" s="275"/>
      <c r="I1490" s="275"/>
      <c r="J1490" s="275"/>
      <c r="K1490" s="275"/>
      <c r="L1490" s="275"/>
      <c r="M1490" s="276"/>
      <c r="O1490" s="100">
        <f>SUM(O1456:O1488)</f>
        <v>0.46917000000000003</v>
      </c>
    </row>
    <row r="1491" spans="2:15" x14ac:dyDescent="0.25">
      <c r="B1491" s="3" t="s">
        <v>402</v>
      </c>
      <c r="C1491" s="232" t="s">
        <v>403</v>
      </c>
      <c r="D1491" s="232"/>
      <c r="E1491" s="233" t="s">
        <v>404</v>
      </c>
      <c r="F1491" s="233"/>
      <c r="G1491" s="232" t="s">
        <v>405</v>
      </c>
      <c r="H1491" s="232"/>
      <c r="I1491" s="234" t="s">
        <v>406</v>
      </c>
      <c r="J1491" s="277"/>
      <c r="K1491" s="234" t="s">
        <v>407</v>
      </c>
      <c r="L1491" s="235"/>
      <c r="M1491" s="236"/>
    </row>
    <row r="1492" spans="2:15" ht="15.75" thickBot="1" x14ac:dyDescent="0.3">
      <c r="B1492" s="5">
        <v>1.087</v>
      </c>
      <c r="C1492" s="237">
        <v>1.9810000000000001</v>
      </c>
      <c r="D1492" s="238"/>
      <c r="E1492" s="239">
        <v>0.4</v>
      </c>
      <c r="F1492" s="238"/>
      <c r="G1492" s="240"/>
      <c r="H1492" s="240"/>
      <c r="I1492" s="242"/>
      <c r="J1492" s="278"/>
      <c r="K1492" s="242">
        <v>0.11286</v>
      </c>
      <c r="L1492" s="243"/>
      <c r="M1492" s="244"/>
    </row>
    <row r="1493" spans="2:15" x14ac:dyDescent="0.25">
      <c r="B1493" s="1"/>
      <c r="C1493" s="1"/>
      <c r="D1493" s="1"/>
      <c r="E1493" s="1"/>
      <c r="F1493" s="1"/>
      <c r="G1493" s="1"/>
      <c r="H1493" s="1"/>
    </row>
    <row r="1494" spans="2:15" x14ac:dyDescent="0.25">
      <c r="B1494" s="217" t="s">
        <v>408</v>
      </c>
      <c r="C1494" s="218"/>
      <c r="D1494" s="218"/>
      <c r="E1494" s="218"/>
      <c r="F1494" s="218"/>
      <c r="G1494" s="218"/>
      <c r="H1494" s="218"/>
      <c r="I1494" s="218"/>
      <c r="J1494" s="218"/>
      <c r="K1494" s="218"/>
      <c r="L1494" s="218"/>
      <c r="M1494" s="219"/>
    </row>
    <row r="1495" spans="2:15" x14ac:dyDescent="0.25">
      <c r="B1495" s="122" t="s">
        <v>2467</v>
      </c>
      <c r="C1495" s="220" t="s">
        <v>2468</v>
      </c>
      <c r="D1495" s="220"/>
      <c r="E1495" s="221" t="s">
        <v>1993</v>
      </c>
      <c r="F1495" s="221"/>
      <c r="G1495" s="221" t="s">
        <v>1606</v>
      </c>
      <c r="H1495" s="221"/>
      <c r="I1495" s="220" t="s">
        <v>2469</v>
      </c>
      <c r="J1495" s="220"/>
      <c r="K1495" s="220" t="s">
        <v>2470</v>
      </c>
      <c r="L1495" s="220"/>
      <c r="M1495" s="222"/>
    </row>
    <row r="1496" spans="2:15" x14ac:dyDescent="0.25">
      <c r="B1496" s="123" t="s">
        <v>2471</v>
      </c>
      <c r="C1496" s="225" t="s">
        <v>714</v>
      </c>
      <c r="D1496" s="226"/>
      <c r="E1496" s="223" t="s">
        <v>2472</v>
      </c>
      <c r="F1496" s="223"/>
      <c r="G1496" s="223" t="s">
        <v>2473</v>
      </c>
      <c r="H1496" s="223"/>
      <c r="I1496" s="227" t="s">
        <v>2474</v>
      </c>
      <c r="J1496" s="227"/>
      <c r="K1496" s="223" t="s">
        <v>2475</v>
      </c>
      <c r="L1496" s="223"/>
      <c r="M1496" s="224"/>
    </row>
    <row r="1497" spans="2:15" x14ac:dyDescent="0.25">
      <c r="B1497" s="123" t="s">
        <v>2476</v>
      </c>
      <c r="C1497" s="286" t="s">
        <v>2477</v>
      </c>
      <c r="D1497" s="287"/>
      <c r="E1497" s="227" t="s">
        <v>2478</v>
      </c>
      <c r="F1497" s="227"/>
      <c r="G1497" s="223" t="s">
        <v>1069</v>
      </c>
      <c r="H1497" s="223"/>
      <c r="I1497" s="223" t="s">
        <v>2479</v>
      </c>
      <c r="J1497" s="223"/>
      <c r="K1497" s="223" t="s">
        <v>575</v>
      </c>
      <c r="L1497" s="223"/>
      <c r="M1497" s="224"/>
    </row>
    <row r="1499" spans="2:15" ht="23.25" x14ac:dyDescent="0.35">
      <c r="B1499" s="29" t="s">
        <v>334</v>
      </c>
      <c r="C1499" s="36" t="s">
        <v>168</v>
      </c>
      <c r="D1499" s="36"/>
      <c r="E1499" s="36"/>
      <c r="F1499" s="36"/>
      <c r="G1499" s="36"/>
      <c r="H1499" s="36"/>
      <c r="I1499" s="36"/>
      <c r="J1499" s="36"/>
    </row>
    <row r="1500" spans="2:15" ht="18.75" x14ac:dyDescent="0.3">
      <c r="B1500" s="12" t="s">
        <v>335</v>
      </c>
      <c r="C1500" s="195" t="s">
        <v>336</v>
      </c>
      <c r="D1500" s="228" t="s">
        <v>427</v>
      </c>
      <c r="E1500" s="228"/>
      <c r="F1500" s="1" t="s">
        <v>2480</v>
      </c>
      <c r="L1500" s="12" t="s">
        <v>339</v>
      </c>
      <c r="M1500" s="6" t="s">
        <v>167</v>
      </c>
    </row>
    <row r="1502" spans="2:15" x14ac:dyDescent="0.25">
      <c r="B1502" s="2" t="s">
        <v>341</v>
      </c>
      <c r="C1502" s="250" t="s">
        <v>342</v>
      </c>
      <c r="D1502" s="250"/>
      <c r="E1502" s="250" t="s">
        <v>343</v>
      </c>
      <c r="F1502" s="250"/>
      <c r="G1502" s="250" t="s">
        <v>954</v>
      </c>
      <c r="H1502" s="250"/>
      <c r="I1502" s="228" t="s">
        <v>345</v>
      </c>
      <c r="J1502" s="228"/>
      <c r="K1502" s="228"/>
      <c r="L1502" s="228"/>
      <c r="M1502" s="228"/>
    </row>
    <row r="1503" spans="2:15" x14ac:dyDescent="0.25">
      <c r="C1503" s="251"/>
      <c r="D1503" s="251"/>
      <c r="E1503" s="251"/>
      <c r="F1503" s="251"/>
      <c r="G1503" s="251"/>
      <c r="H1503" s="251"/>
      <c r="I1503" s="7"/>
      <c r="J1503" s="7"/>
      <c r="K1503" s="7"/>
      <c r="L1503" s="7"/>
      <c r="M1503" s="7"/>
    </row>
    <row r="1504" spans="2:15" x14ac:dyDescent="0.25">
      <c r="B1504" s="11" t="s">
        <v>2481</v>
      </c>
      <c r="C1504" s="252" t="s">
        <v>2482</v>
      </c>
      <c r="D1504" s="252"/>
      <c r="E1504" s="252" t="s">
        <v>2483</v>
      </c>
      <c r="F1504" s="252"/>
      <c r="G1504" s="252" t="s">
        <v>350</v>
      </c>
      <c r="H1504" s="252"/>
      <c r="I1504" s="14" t="s">
        <v>2484</v>
      </c>
      <c r="K1504" s="14"/>
      <c r="L1504" s="7"/>
      <c r="M1504" s="7"/>
    </row>
    <row r="1505" spans="2:13" x14ac:dyDescent="0.25">
      <c r="B1505" s="11"/>
      <c r="C1505" s="188"/>
      <c r="D1505" s="188"/>
      <c r="E1505" s="188"/>
      <c r="F1505" s="188"/>
      <c r="G1505" s="188"/>
      <c r="H1505" s="188"/>
      <c r="I1505" s="14" t="s">
        <v>2485</v>
      </c>
      <c r="L1505" s="7"/>
      <c r="M1505" s="7"/>
    </row>
    <row r="1506" spans="2:13" x14ac:dyDescent="0.25">
      <c r="B1506" s="1" t="s">
        <v>397</v>
      </c>
      <c r="C1506" s="253" t="s">
        <v>2486</v>
      </c>
      <c r="D1506" s="253"/>
      <c r="E1506" s="253" t="s">
        <v>2487</v>
      </c>
      <c r="F1506" s="253"/>
      <c r="G1506" s="253" t="s">
        <v>2488</v>
      </c>
      <c r="H1506" s="253"/>
      <c r="I1506" s="14" t="s">
        <v>2489</v>
      </c>
      <c r="K1506" s="14"/>
      <c r="L1506" s="7"/>
      <c r="M1506" s="7"/>
    </row>
    <row r="1507" spans="2:13" x14ac:dyDescent="0.25">
      <c r="B1507" s="1"/>
      <c r="C1507" s="253"/>
      <c r="D1507" s="253"/>
      <c r="E1507" s="253"/>
      <c r="F1507" s="253"/>
      <c r="G1507" s="253"/>
      <c r="H1507" s="253"/>
      <c r="I1507" s="14" t="s">
        <v>2490</v>
      </c>
      <c r="K1507" s="14"/>
      <c r="L1507" s="7"/>
      <c r="M1507" s="7"/>
    </row>
    <row r="1508" spans="2:13" x14ac:dyDescent="0.25">
      <c r="B1508" s="11" t="s">
        <v>1881</v>
      </c>
      <c r="C1508" s="252" t="s">
        <v>2491</v>
      </c>
      <c r="D1508" s="252"/>
      <c r="E1508" s="252" t="s">
        <v>2492</v>
      </c>
      <c r="F1508" s="252"/>
      <c r="G1508" s="252" t="s">
        <v>2493</v>
      </c>
      <c r="H1508" s="252"/>
      <c r="I1508" s="14" t="s">
        <v>2494</v>
      </c>
      <c r="L1508" s="7"/>
      <c r="M1508" s="7"/>
    </row>
    <row r="1509" spans="2:13" x14ac:dyDescent="0.25">
      <c r="B1509" s="11"/>
      <c r="C1509" s="252"/>
      <c r="D1509" s="252"/>
      <c r="E1509" s="252"/>
      <c r="F1509" s="252"/>
      <c r="G1509" s="252"/>
      <c r="H1509" s="252"/>
      <c r="I1509" s="14" t="s">
        <v>2495</v>
      </c>
      <c r="K1509" s="14"/>
      <c r="L1509" s="7"/>
      <c r="M1509" s="7"/>
    </row>
    <row r="1510" spans="2:13" x14ac:dyDescent="0.25">
      <c r="B1510" s="1" t="s">
        <v>548</v>
      </c>
      <c r="C1510" s="253" t="s">
        <v>2496</v>
      </c>
      <c r="D1510" s="253"/>
      <c r="E1510" s="253" t="s">
        <v>2497</v>
      </c>
      <c r="F1510" s="253"/>
      <c r="G1510" s="253" t="s">
        <v>2498</v>
      </c>
      <c r="H1510" s="253"/>
      <c r="I1510" s="14" t="s">
        <v>2499</v>
      </c>
      <c r="J1510" s="14"/>
      <c r="K1510" s="14"/>
      <c r="L1510" s="7"/>
      <c r="M1510" s="7"/>
    </row>
    <row r="1511" spans="2:13" x14ac:dyDescent="0.25">
      <c r="B1511" s="1"/>
      <c r="C1511" s="189"/>
      <c r="D1511" s="189"/>
      <c r="E1511" s="189"/>
      <c r="F1511" s="189"/>
      <c r="G1511" s="189"/>
      <c r="H1511" s="189"/>
      <c r="I1511" s="14" t="s">
        <v>2500</v>
      </c>
      <c r="J1511" s="14"/>
      <c r="K1511" s="14"/>
      <c r="L1511" s="7"/>
      <c r="M1511" s="7"/>
    </row>
    <row r="1512" spans="2:13" x14ac:dyDescent="0.25">
      <c r="B1512" s="11" t="s">
        <v>457</v>
      </c>
      <c r="C1512" s="252" t="s">
        <v>2496</v>
      </c>
      <c r="D1512" s="252"/>
      <c r="E1512" s="252" t="s">
        <v>2497</v>
      </c>
      <c r="F1512" s="252"/>
      <c r="G1512" s="252" t="s">
        <v>2498</v>
      </c>
      <c r="H1512" s="252"/>
      <c r="I1512" s="15" t="s">
        <v>379</v>
      </c>
      <c r="J1512" s="14"/>
      <c r="L1512" s="7"/>
      <c r="M1512" s="7"/>
    </row>
    <row r="1513" spans="2:13" x14ac:dyDescent="0.25">
      <c r="B1513" s="11"/>
      <c r="C1513" s="188"/>
      <c r="D1513" s="188"/>
      <c r="E1513" s="188"/>
      <c r="F1513" s="188"/>
      <c r="G1513" s="188"/>
      <c r="H1513" s="188"/>
      <c r="I1513" s="14" t="s">
        <v>2501</v>
      </c>
      <c r="L1513" s="7"/>
      <c r="M1513" s="7"/>
    </row>
    <row r="1514" spans="2:13" x14ac:dyDescent="0.25">
      <c r="B1514" s="1" t="s">
        <v>1952</v>
      </c>
      <c r="C1514" s="253" t="s">
        <v>2502</v>
      </c>
      <c r="D1514" s="253"/>
      <c r="E1514" s="253" t="s">
        <v>373</v>
      </c>
      <c r="F1514" s="253"/>
      <c r="G1514" s="253" t="s">
        <v>374</v>
      </c>
      <c r="H1514" s="253"/>
      <c r="I1514" s="14" t="s">
        <v>2503</v>
      </c>
      <c r="K1514" s="14"/>
      <c r="L1514" s="7"/>
      <c r="M1514" s="7"/>
    </row>
    <row r="1515" spans="2:13" x14ac:dyDescent="0.25">
      <c r="B1515" s="1"/>
      <c r="C1515" s="189"/>
      <c r="D1515" s="189"/>
      <c r="E1515" s="189"/>
      <c r="F1515" s="189"/>
      <c r="G1515" s="189"/>
      <c r="H1515" s="189"/>
      <c r="I1515" s="14" t="s">
        <v>2504</v>
      </c>
      <c r="J1515" s="14"/>
      <c r="K1515" s="14"/>
      <c r="L1515" s="7"/>
      <c r="M1515" s="7"/>
    </row>
    <row r="1516" spans="2:13" x14ac:dyDescent="0.25">
      <c r="B1516" s="11" t="s">
        <v>1236</v>
      </c>
      <c r="C1516" s="265" t="s">
        <v>1156</v>
      </c>
      <c r="D1516" s="265"/>
      <c r="E1516" s="265" t="s">
        <v>1157</v>
      </c>
      <c r="F1516" s="265"/>
      <c r="G1516" s="265" t="s">
        <v>1158</v>
      </c>
      <c r="H1516" s="265"/>
      <c r="I1516" s="14"/>
      <c r="J1516" s="14"/>
      <c r="K1516" s="14"/>
      <c r="L1516" s="7"/>
      <c r="M1516" s="7"/>
    </row>
    <row r="1517" spans="2:13" x14ac:dyDescent="0.25">
      <c r="B1517" s="11"/>
      <c r="C1517" s="188"/>
      <c r="D1517" s="188"/>
      <c r="E1517" s="188"/>
      <c r="F1517" s="188"/>
      <c r="G1517" s="188"/>
      <c r="H1517" s="188"/>
      <c r="I1517" s="14"/>
      <c r="J1517" s="14"/>
      <c r="K1517" s="14"/>
    </row>
    <row r="1518" spans="2:13" x14ac:dyDescent="0.25">
      <c r="B1518" s="1" t="s">
        <v>2505</v>
      </c>
      <c r="C1518" s="253" t="s">
        <v>2460</v>
      </c>
      <c r="D1518" s="253"/>
      <c r="E1518" s="253" t="s">
        <v>2506</v>
      </c>
      <c r="F1518" s="253"/>
      <c r="G1518" s="253" t="s">
        <v>2507</v>
      </c>
      <c r="H1518" s="253"/>
      <c r="I1518" s="14"/>
      <c r="J1518" s="14"/>
      <c r="K1518" s="14"/>
    </row>
    <row r="1519" spans="2:13" x14ac:dyDescent="0.25">
      <c r="B1519" s="1"/>
      <c r="C1519" s="253"/>
      <c r="D1519" s="253"/>
      <c r="E1519" s="253"/>
      <c r="F1519" s="253"/>
      <c r="G1519" s="253"/>
      <c r="H1519" s="253"/>
      <c r="I1519" s="14"/>
      <c r="J1519" s="14"/>
      <c r="K1519" s="14"/>
    </row>
    <row r="1520" spans="2:13" x14ac:dyDescent="0.25">
      <c r="B1520" s="11" t="s">
        <v>1757</v>
      </c>
      <c r="C1520" s="252" t="s">
        <v>399</v>
      </c>
      <c r="D1520" s="252"/>
      <c r="E1520" s="252" t="s">
        <v>400</v>
      </c>
      <c r="F1520" s="252"/>
      <c r="G1520" s="252" t="s">
        <v>1019</v>
      </c>
      <c r="H1520" s="252"/>
      <c r="I1520" s="14"/>
      <c r="J1520" s="14"/>
      <c r="K1520" s="14"/>
    </row>
    <row r="1521" spans="2:13" ht="15.75" thickBot="1" x14ac:dyDescent="0.3">
      <c r="B1521" s="11"/>
      <c r="C1521" s="188"/>
      <c r="D1521" s="188"/>
      <c r="E1521" s="188"/>
      <c r="F1521" s="188"/>
      <c r="G1521" s="188"/>
      <c r="H1521" s="188"/>
      <c r="I1521" s="14"/>
      <c r="J1521" s="14"/>
      <c r="K1521" s="14"/>
    </row>
    <row r="1522" spans="2:13" x14ac:dyDescent="0.25">
      <c r="B1522" s="274" t="s">
        <v>401</v>
      </c>
      <c r="C1522" s="275"/>
      <c r="D1522" s="275"/>
      <c r="E1522" s="275"/>
      <c r="F1522" s="275"/>
      <c r="G1522" s="275"/>
      <c r="H1522" s="275"/>
      <c r="I1522" s="275"/>
      <c r="J1522" s="275"/>
      <c r="K1522" s="275"/>
      <c r="L1522" s="275"/>
      <c r="M1522" s="276"/>
    </row>
    <row r="1523" spans="2:13" x14ac:dyDescent="0.25">
      <c r="B1523" s="3" t="s">
        <v>402</v>
      </c>
      <c r="C1523" s="232" t="s">
        <v>403</v>
      </c>
      <c r="D1523" s="232"/>
      <c r="E1523" s="232" t="s">
        <v>467</v>
      </c>
      <c r="F1523" s="232"/>
      <c r="G1523" s="232" t="s">
        <v>405</v>
      </c>
      <c r="H1523" s="232"/>
      <c r="I1523" s="234" t="s">
        <v>406</v>
      </c>
      <c r="J1523" s="277"/>
      <c r="K1523" s="234" t="s">
        <v>468</v>
      </c>
      <c r="L1523" s="235"/>
      <c r="M1523" s="236"/>
    </row>
    <row r="1524" spans="2:13" ht="15.75" thickBot="1" x14ac:dyDescent="0.3">
      <c r="B1524" s="5">
        <v>2</v>
      </c>
      <c r="C1524" s="237">
        <v>1.6</v>
      </c>
      <c r="D1524" s="238"/>
      <c r="E1524" s="239"/>
      <c r="F1524" s="238"/>
      <c r="G1524" s="240">
        <v>0.28000000000000003</v>
      </c>
      <c r="H1524" s="240"/>
      <c r="I1524" s="242"/>
      <c r="J1524" s="278"/>
      <c r="K1524" s="242"/>
      <c r="L1524" s="243"/>
      <c r="M1524" s="244"/>
    </row>
    <row r="1525" spans="2:13" ht="15.75" thickBot="1" x14ac:dyDescent="0.3">
      <c r="B1525" s="1"/>
      <c r="C1525" s="1"/>
      <c r="D1525" s="1"/>
      <c r="E1525" s="1"/>
      <c r="F1525" s="1"/>
      <c r="G1525" s="1"/>
      <c r="H1525" s="1"/>
    </row>
    <row r="1526" spans="2:13" x14ac:dyDescent="0.25">
      <c r="B1526" s="274" t="s">
        <v>408</v>
      </c>
      <c r="C1526" s="275"/>
      <c r="D1526" s="275"/>
      <c r="E1526" s="275"/>
      <c r="F1526" s="275"/>
      <c r="G1526" s="275"/>
      <c r="H1526" s="275"/>
      <c r="I1526" s="275"/>
      <c r="J1526" s="275"/>
      <c r="K1526" s="275"/>
      <c r="L1526" s="275"/>
      <c r="M1526" s="276"/>
    </row>
    <row r="1527" spans="2:13" x14ac:dyDescent="0.25">
      <c r="B1527" s="3" t="s">
        <v>2508</v>
      </c>
      <c r="C1527" s="232" t="s">
        <v>2509</v>
      </c>
      <c r="D1527" s="232"/>
      <c r="E1527" s="268" t="s">
        <v>2510</v>
      </c>
      <c r="F1527" s="268"/>
      <c r="G1527" s="233" t="s">
        <v>2511</v>
      </c>
      <c r="H1527" s="233"/>
      <c r="I1527" s="234" t="s">
        <v>2512</v>
      </c>
      <c r="J1527" s="277"/>
      <c r="K1527" s="232" t="s">
        <v>2513</v>
      </c>
      <c r="L1527" s="232"/>
      <c r="M1527" s="269"/>
    </row>
    <row r="1528" spans="2:13" ht="15.75" thickBot="1" x14ac:dyDescent="0.3">
      <c r="B1528" s="5" t="s">
        <v>915</v>
      </c>
      <c r="C1528" s="240" t="s">
        <v>2514</v>
      </c>
      <c r="D1528" s="240"/>
      <c r="E1528" s="240" t="s">
        <v>2515</v>
      </c>
      <c r="F1528" s="240"/>
      <c r="G1528" s="240" t="s">
        <v>714</v>
      </c>
      <c r="H1528" s="240"/>
      <c r="I1528" s="281" t="s">
        <v>2516</v>
      </c>
      <c r="J1528" s="282"/>
      <c r="K1528" s="240" t="s">
        <v>2517</v>
      </c>
      <c r="L1528" s="240"/>
      <c r="M1528" s="267"/>
    </row>
    <row r="1530" spans="2:13" ht="23.25" x14ac:dyDescent="0.35">
      <c r="B1530" s="29" t="s">
        <v>334</v>
      </c>
      <c r="C1530" s="36" t="s">
        <v>170</v>
      </c>
      <c r="D1530" s="36"/>
      <c r="E1530" s="36"/>
      <c r="F1530" s="36"/>
      <c r="G1530" s="36"/>
      <c r="H1530" s="36"/>
      <c r="I1530" s="36"/>
      <c r="J1530" s="36"/>
    </row>
    <row r="1531" spans="2:13" ht="18.75" x14ac:dyDescent="0.3">
      <c r="B1531" s="12" t="s">
        <v>335</v>
      </c>
      <c r="C1531" s="195" t="s">
        <v>336</v>
      </c>
      <c r="D1531" s="228" t="s">
        <v>427</v>
      </c>
      <c r="E1531" s="228"/>
      <c r="F1531" s="1" t="s">
        <v>804</v>
      </c>
      <c r="L1531" s="12" t="s">
        <v>339</v>
      </c>
      <c r="M1531" s="6" t="s">
        <v>169</v>
      </c>
    </row>
    <row r="1533" spans="2:13" x14ac:dyDescent="0.25">
      <c r="B1533" s="2" t="s">
        <v>341</v>
      </c>
      <c r="C1533" s="250" t="s">
        <v>342</v>
      </c>
      <c r="D1533" s="250"/>
      <c r="E1533" s="250" t="s">
        <v>343</v>
      </c>
      <c r="F1533" s="250"/>
      <c r="G1533" s="250" t="s">
        <v>954</v>
      </c>
      <c r="H1533" s="250"/>
      <c r="I1533" s="228" t="s">
        <v>345</v>
      </c>
      <c r="J1533" s="228"/>
      <c r="K1533" s="228"/>
      <c r="L1533" s="228"/>
      <c r="M1533" s="228"/>
    </row>
    <row r="1534" spans="2:13" x14ac:dyDescent="0.25">
      <c r="C1534" s="251"/>
      <c r="D1534" s="251"/>
      <c r="E1534" s="251"/>
      <c r="F1534" s="251"/>
      <c r="G1534" s="251"/>
      <c r="H1534" s="251"/>
      <c r="I1534" s="7"/>
      <c r="J1534" s="7"/>
      <c r="K1534" s="7"/>
      <c r="L1534" s="7"/>
      <c r="M1534" s="7"/>
    </row>
    <row r="1535" spans="2:13" x14ac:dyDescent="0.25">
      <c r="B1535" s="11" t="s">
        <v>2518</v>
      </c>
      <c r="C1535" s="252" t="s">
        <v>2519</v>
      </c>
      <c r="D1535" s="252"/>
      <c r="E1535" s="252" t="s">
        <v>2520</v>
      </c>
      <c r="F1535" s="252"/>
      <c r="G1535" s="252" t="s">
        <v>2521</v>
      </c>
      <c r="H1535" s="252"/>
      <c r="I1535" s="14" t="s">
        <v>2522</v>
      </c>
      <c r="J1535" s="14"/>
      <c r="K1535" s="14" t="s">
        <v>2523</v>
      </c>
      <c r="L1535" s="7"/>
      <c r="M1535" s="7"/>
    </row>
    <row r="1536" spans="2:13" x14ac:dyDescent="0.25">
      <c r="B1536" s="11"/>
      <c r="C1536" s="188"/>
      <c r="D1536" s="188"/>
      <c r="E1536" s="188"/>
      <c r="F1536" s="188"/>
      <c r="G1536" s="188"/>
      <c r="H1536" s="188"/>
      <c r="I1536" s="14"/>
      <c r="J1536" s="14"/>
      <c r="K1536" s="14" t="s">
        <v>2524</v>
      </c>
      <c r="L1536" s="7"/>
      <c r="M1536" s="7"/>
    </row>
    <row r="1537" spans="2:13" x14ac:dyDescent="0.25">
      <c r="B1537" s="1" t="s">
        <v>2525</v>
      </c>
      <c r="C1537" s="253" t="s">
        <v>1313</v>
      </c>
      <c r="D1537" s="253"/>
      <c r="E1537" s="253" t="s">
        <v>2002</v>
      </c>
      <c r="F1537" s="253"/>
      <c r="G1537" s="253" t="s">
        <v>2265</v>
      </c>
      <c r="H1537" s="253"/>
      <c r="I1537" s="14"/>
      <c r="J1537" s="14"/>
      <c r="K1537" s="14" t="s">
        <v>2526</v>
      </c>
      <c r="L1537" s="7"/>
      <c r="M1537" s="7"/>
    </row>
    <row r="1538" spans="2:13" x14ac:dyDescent="0.25">
      <c r="B1538" s="1"/>
      <c r="C1538" s="253"/>
      <c r="D1538" s="253"/>
      <c r="E1538" s="253"/>
      <c r="F1538" s="253"/>
      <c r="G1538" s="253"/>
      <c r="H1538" s="253"/>
      <c r="I1538" s="14"/>
      <c r="J1538" s="14"/>
      <c r="K1538" s="14" t="s">
        <v>2525</v>
      </c>
      <c r="L1538" s="7"/>
      <c r="M1538" s="7"/>
    </row>
    <row r="1539" spans="2:13" x14ac:dyDescent="0.25">
      <c r="B1539" s="11" t="s">
        <v>2527</v>
      </c>
      <c r="C1539" s="252" t="s">
        <v>2528</v>
      </c>
      <c r="D1539" s="252"/>
      <c r="E1539" s="252" t="s">
        <v>2529</v>
      </c>
      <c r="F1539" s="252"/>
      <c r="G1539" s="252" t="s">
        <v>2530</v>
      </c>
      <c r="H1539" s="252"/>
      <c r="I1539" s="14"/>
      <c r="J1539" s="14"/>
      <c r="K1539" s="14" t="s">
        <v>2531</v>
      </c>
      <c r="L1539" s="7"/>
      <c r="M1539" s="7"/>
    </row>
    <row r="1540" spans="2:13" x14ac:dyDescent="0.25">
      <c r="B1540" s="11"/>
      <c r="C1540" s="252"/>
      <c r="D1540" s="252"/>
      <c r="E1540" s="252"/>
      <c r="F1540" s="252"/>
      <c r="G1540" s="252"/>
      <c r="H1540" s="252"/>
      <c r="I1540" s="14"/>
      <c r="J1540" s="14"/>
      <c r="K1540" s="14" t="s">
        <v>2523</v>
      </c>
      <c r="L1540" s="7"/>
      <c r="M1540" s="7"/>
    </row>
    <row r="1541" spans="2:13" x14ac:dyDescent="0.25">
      <c r="B1541" s="1" t="s">
        <v>2532</v>
      </c>
      <c r="C1541" s="253" t="s">
        <v>1313</v>
      </c>
      <c r="D1541" s="253"/>
      <c r="E1541" s="253" t="s">
        <v>2002</v>
      </c>
      <c r="F1541" s="253"/>
      <c r="G1541" s="253" t="s">
        <v>2265</v>
      </c>
      <c r="H1541" s="253"/>
      <c r="I1541" s="14" t="s">
        <v>2533</v>
      </c>
      <c r="J1541" s="14"/>
      <c r="K1541" s="14"/>
      <c r="L1541" s="7"/>
      <c r="M1541" s="7"/>
    </row>
    <row r="1542" spans="2:13" x14ac:dyDescent="0.25">
      <c r="B1542" s="1"/>
      <c r="C1542" s="189"/>
      <c r="D1542" s="189"/>
      <c r="E1542" s="189"/>
      <c r="F1542" s="189"/>
      <c r="G1542" s="189"/>
      <c r="H1542" s="189"/>
      <c r="I1542" s="14" t="s">
        <v>2534</v>
      </c>
      <c r="J1542" s="14"/>
      <c r="K1542" s="14"/>
      <c r="L1542" s="7"/>
      <c r="M1542" s="7"/>
    </row>
    <row r="1543" spans="2:13" x14ac:dyDescent="0.25">
      <c r="B1543" s="11" t="s">
        <v>848</v>
      </c>
      <c r="C1543" s="252" t="s">
        <v>1915</v>
      </c>
      <c r="D1543" s="252"/>
      <c r="E1543" s="252" t="s">
        <v>1892</v>
      </c>
      <c r="F1543" s="252"/>
      <c r="G1543" s="252" t="s">
        <v>2175</v>
      </c>
      <c r="H1543" s="252"/>
      <c r="I1543" s="14" t="s">
        <v>2535</v>
      </c>
      <c r="J1543" s="14"/>
      <c r="K1543" s="14"/>
      <c r="L1543" s="7"/>
      <c r="M1543" s="7"/>
    </row>
    <row r="1544" spans="2:13" x14ac:dyDescent="0.25">
      <c r="B1544" s="11"/>
      <c r="C1544" s="188"/>
      <c r="D1544" s="188"/>
      <c r="E1544" s="188"/>
      <c r="F1544" s="188"/>
      <c r="G1544" s="188"/>
      <c r="H1544" s="188"/>
      <c r="I1544" s="14" t="s">
        <v>2536</v>
      </c>
      <c r="J1544" s="14"/>
      <c r="K1544" s="14"/>
      <c r="L1544" s="7"/>
      <c r="M1544" s="7"/>
    </row>
    <row r="1545" spans="2:13" x14ac:dyDescent="0.25">
      <c r="B1545" s="1" t="s">
        <v>2537</v>
      </c>
      <c r="C1545" s="253" t="s">
        <v>2538</v>
      </c>
      <c r="D1545" s="253"/>
      <c r="E1545" s="253" t="s">
        <v>2539</v>
      </c>
      <c r="F1545" s="253"/>
      <c r="G1545" s="253" t="s">
        <v>2540</v>
      </c>
      <c r="H1545" s="253"/>
      <c r="I1545" s="14" t="s">
        <v>2541</v>
      </c>
      <c r="J1545" s="14"/>
      <c r="K1545" s="14"/>
      <c r="L1545" s="7"/>
      <c r="M1545" s="7"/>
    </row>
    <row r="1546" spans="2:13" ht="15.75" thickBot="1" x14ac:dyDescent="0.3">
      <c r="B1546" s="1"/>
      <c r="C1546" s="189"/>
      <c r="D1546" s="189"/>
      <c r="E1546" s="189"/>
      <c r="F1546" s="189"/>
      <c r="G1546" s="189"/>
      <c r="H1546" s="189"/>
      <c r="I1546" s="14"/>
      <c r="J1546" s="14"/>
      <c r="K1546" s="14"/>
      <c r="L1546" s="7"/>
      <c r="M1546" s="7"/>
    </row>
    <row r="1547" spans="2:13" x14ac:dyDescent="0.25">
      <c r="B1547" s="274" t="s">
        <v>401</v>
      </c>
      <c r="C1547" s="275"/>
      <c r="D1547" s="275"/>
      <c r="E1547" s="275"/>
      <c r="F1547" s="275"/>
      <c r="G1547" s="275"/>
      <c r="H1547" s="275"/>
      <c r="I1547" s="275"/>
      <c r="J1547" s="275"/>
      <c r="K1547" s="275"/>
      <c r="L1547" s="275"/>
      <c r="M1547" s="276"/>
    </row>
    <row r="1548" spans="2:13" x14ac:dyDescent="0.25">
      <c r="B1548" s="3" t="s">
        <v>402</v>
      </c>
      <c r="C1548" s="232" t="s">
        <v>403</v>
      </c>
      <c r="D1548" s="232"/>
      <c r="E1548" s="232" t="s">
        <v>467</v>
      </c>
      <c r="F1548" s="232"/>
      <c r="G1548" s="232" t="s">
        <v>405</v>
      </c>
      <c r="H1548" s="232"/>
      <c r="I1548" s="234" t="s">
        <v>406</v>
      </c>
      <c r="J1548" s="277"/>
      <c r="K1548" s="234" t="s">
        <v>468</v>
      </c>
      <c r="L1548" s="235"/>
      <c r="M1548" s="236"/>
    </row>
    <row r="1549" spans="2:13" ht="15.75" thickBot="1" x14ac:dyDescent="0.3">
      <c r="B1549" s="5">
        <v>2.5</v>
      </c>
      <c r="C1549" s="237">
        <v>4</v>
      </c>
      <c r="D1549" s="238"/>
      <c r="E1549" s="239">
        <v>0.184</v>
      </c>
      <c r="F1549" s="238"/>
      <c r="G1549" s="240"/>
      <c r="H1549" s="240"/>
      <c r="I1549" s="242"/>
      <c r="J1549" s="278"/>
      <c r="K1549" s="242"/>
      <c r="L1549" s="243"/>
      <c r="M1549" s="244"/>
    </row>
    <row r="1550" spans="2:13" ht="15.75" thickBot="1" x14ac:dyDescent="0.3">
      <c r="B1550" s="1"/>
      <c r="C1550" s="1"/>
      <c r="D1550" s="1"/>
      <c r="E1550" s="1"/>
      <c r="F1550" s="1"/>
      <c r="G1550" s="1"/>
      <c r="H1550" s="1"/>
    </row>
    <row r="1551" spans="2:13" x14ac:dyDescent="0.25">
      <c r="B1551" s="274" t="s">
        <v>408</v>
      </c>
      <c r="C1551" s="275"/>
      <c r="D1551" s="275"/>
      <c r="E1551" s="275"/>
      <c r="F1551" s="275"/>
      <c r="G1551" s="275"/>
      <c r="H1551" s="275"/>
      <c r="I1551" s="275"/>
      <c r="J1551" s="275"/>
      <c r="K1551" s="275"/>
      <c r="L1551" s="275"/>
      <c r="M1551" s="276"/>
    </row>
    <row r="1552" spans="2:13" x14ac:dyDescent="0.25">
      <c r="B1552" s="3" t="s">
        <v>2542</v>
      </c>
      <c r="C1552" s="232" t="s">
        <v>2543</v>
      </c>
      <c r="D1552" s="232"/>
      <c r="E1552" s="268" t="s">
        <v>2544</v>
      </c>
      <c r="F1552" s="268"/>
      <c r="G1552" s="233" t="s">
        <v>2545</v>
      </c>
      <c r="H1552" s="233"/>
      <c r="I1552" s="234" t="s">
        <v>2546</v>
      </c>
      <c r="J1552" s="277"/>
      <c r="K1552" s="232" t="s">
        <v>2547</v>
      </c>
      <c r="L1552" s="232"/>
      <c r="M1552" s="269"/>
    </row>
    <row r="1553" spans="2:15" ht="15.75" thickBot="1" x14ac:dyDescent="0.3">
      <c r="B1553" s="5" t="s">
        <v>2548</v>
      </c>
      <c r="C1553" s="240" t="s">
        <v>2549</v>
      </c>
      <c r="D1553" s="240"/>
      <c r="E1553" s="240" t="s">
        <v>2550</v>
      </c>
      <c r="F1553" s="240"/>
      <c r="G1553" s="240" t="s">
        <v>916</v>
      </c>
      <c r="H1553" s="240"/>
      <c r="I1553" s="281" t="s">
        <v>2551</v>
      </c>
      <c r="J1553" s="282"/>
      <c r="K1553" s="240" t="s">
        <v>2552</v>
      </c>
      <c r="L1553" s="240"/>
      <c r="M1553" s="267"/>
    </row>
    <row r="1555" spans="2:15" ht="23.25" x14ac:dyDescent="0.35">
      <c r="B1555" s="29" t="s">
        <v>334</v>
      </c>
      <c r="C1555" s="36" t="s">
        <v>120</v>
      </c>
      <c r="D1555" s="36"/>
      <c r="E1555" s="36"/>
      <c r="F1555" s="36"/>
      <c r="G1555" s="36"/>
      <c r="H1555" s="36"/>
      <c r="I1555" s="36"/>
      <c r="J1555" s="36"/>
    </row>
    <row r="1556" spans="2:15" ht="18.75" x14ac:dyDescent="0.3">
      <c r="B1556" s="12" t="s">
        <v>335</v>
      </c>
      <c r="C1556" s="195" t="s">
        <v>336</v>
      </c>
      <c r="D1556" s="228" t="s">
        <v>427</v>
      </c>
      <c r="E1556" s="228"/>
      <c r="F1556" s="1" t="s">
        <v>2096</v>
      </c>
      <c r="L1556" s="12" t="s">
        <v>339</v>
      </c>
      <c r="M1556" s="6" t="s">
        <v>119</v>
      </c>
    </row>
    <row r="1558" spans="2:15" x14ac:dyDescent="0.25">
      <c r="B1558" s="2" t="s">
        <v>341</v>
      </c>
      <c r="C1558" s="250" t="s">
        <v>342</v>
      </c>
      <c r="D1558" s="250"/>
      <c r="E1558" s="250" t="s">
        <v>343</v>
      </c>
      <c r="F1558" s="250"/>
      <c r="G1558" s="250" t="s">
        <v>344</v>
      </c>
      <c r="H1558" s="250"/>
      <c r="I1558" s="228" t="s">
        <v>345</v>
      </c>
      <c r="J1558" s="228"/>
      <c r="K1558" s="228"/>
      <c r="L1558" s="228"/>
      <c r="M1558" s="228"/>
      <c r="O1558" s="101" t="s">
        <v>732</v>
      </c>
    </row>
    <row r="1559" spans="2:15" x14ac:dyDescent="0.25">
      <c r="C1559" s="251"/>
      <c r="D1559" s="251"/>
      <c r="E1559" s="251"/>
      <c r="F1559" s="251"/>
      <c r="G1559" s="251"/>
      <c r="H1559" s="251"/>
      <c r="I1559" s="7"/>
      <c r="J1559" s="7"/>
      <c r="K1559" s="7"/>
      <c r="L1559" s="7"/>
      <c r="M1559" s="7"/>
    </row>
    <row r="1560" spans="2:15" x14ac:dyDescent="0.25">
      <c r="B1560" s="11" t="s">
        <v>1743</v>
      </c>
      <c r="C1560" s="252" t="s">
        <v>2553</v>
      </c>
      <c r="D1560" s="252"/>
      <c r="E1560" s="252" t="s">
        <v>2554</v>
      </c>
      <c r="F1560" s="252"/>
      <c r="G1560" s="252" t="s">
        <v>2555</v>
      </c>
      <c r="H1560" s="252"/>
      <c r="I1560" s="14" t="s">
        <v>1015</v>
      </c>
      <c r="K1560" s="14"/>
      <c r="L1560" s="7"/>
      <c r="M1560" s="7"/>
      <c r="O1560" s="98">
        <v>0.28499999999999998</v>
      </c>
    </row>
    <row r="1561" spans="2:15" x14ac:dyDescent="0.25">
      <c r="B1561" s="11" t="s">
        <v>1745</v>
      </c>
      <c r="C1561" s="188"/>
      <c r="D1561" s="188"/>
      <c r="E1561" s="188"/>
      <c r="F1561" s="188"/>
      <c r="G1561" s="188"/>
      <c r="H1561" s="188"/>
      <c r="I1561" s="14" t="s">
        <v>2556</v>
      </c>
      <c r="K1561" s="14"/>
      <c r="L1561" s="7"/>
      <c r="M1561" s="7"/>
      <c r="O1561" s="98"/>
    </row>
    <row r="1562" spans="2:15" x14ac:dyDescent="0.25">
      <c r="B1562" s="1" t="s">
        <v>1796</v>
      </c>
      <c r="C1562" s="253" t="s">
        <v>2557</v>
      </c>
      <c r="D1562" s="253"/>
      <c r="E1562" s="253" t="s">
        <v>2558</v>
      </c>
      <c r="F1562" s="253"/>
      <c r="G1562" s="253" t="s">
        <v>2559</v>
      </c>
      <c r="H1562" s="253"/>
      <c r="I1562" s="14" t="s">
        <v>2560</v>
      </c>
      <c r="K1562" s="14"/>
      <c r="L1562" s="7"/>
      <c r="M1562" s="7"/>
      <c r="O1562" s="98">
        <v>1.0800000000000001E-2</v>
      </c>
    </row>
    <row r="1563" spans="2:15" x14ac:dyDescent="0.25">
      <c r="B1563" s="1" t="s">
        <v>1801</v>
      </c>
      <c r="C1563" s="253" t="s">
        <v>1019</v>
      </c>
      <c r="D1563" s="253"/>
      <c r="E1563" s="253" t="s">
        <v>1020</v>
      </c>
      <c r="F1563" s="253"/>
      <c r="G1563" s="253" t="s">
        <v>1209</v>
      </c>
      <c r="H1563" s="253"/>
      <c r="I1563" s="14" t="s">
        <v>2561</v>
      </c>
      <c r="K1563" s="14"/>
      <c r="L1563" s="7"/>
      <c r="M1563" s="7"/>
      <c r="O1563" s="98"/>
    </row>
    <row r="1564" spans="2:15" x14ac:dyDescent="0.25">
      <c r="B1564" s="11" t="s">
        <v>889</v>
      </c>
      <c r="C1564" s="252" t="s">
        <v>972</v>
      </c>
      <c r="D1564" s="252"/>
      <c r="E1564" s="252" t="s">
        <v>2562</v>
      </c>
      <c r="F1564" s="252"/>
      <c r="G1564" s="252" t="s">
        <v>2563</v>
      </c>
      <c r="H1564" s="252"/>
      <c r="I1564" s="14" t="s">
        <v>2564</v>
      </c>
      <c r="K1564" s="14"/>
      <c r="L1564" s="7"/>
      <c r="M1564" s="7"/>
      <c r="O1564" s="98">
        <v>8.0999999999999996E-3</v>
      </c>
    </row>
    <row r="1565" spans="2:15" x14ac:dyDescent="0.25">
      <c r="B1565" s="11"/>
      <c r="C1565" s="252"/>
      <c r="D1565" s="252"/>
      <c r="E1565" s="252"/>
      <c r="F1565" s="252"/>
      <c r="G1565" s="252"/>
      <c r="H1565" s="252"/>
      <c r="I1565" s="14" t="s">
        <v>2565</v>
      </c>
      <c r="K1565" s="14"/>
      <c r="L1565" s="7"/>
      <c r="M1565" s="7"/>
      <c r="O1565" s="98"/>
    </row>
    <row r="1566" spans="2:15" x14ac:dyDescent="0.25">
      <c r="B1566" s="1" t="s">
        <v>454</v>
      </c>
      <c r="C1566" s="253" t="s">
        <v>391</v>
      </c>
      <c r="D1566" s="253"/>
      <c r="E1566" s="253" t="s">
        <v>392</v>
      </c>
      <c r="F1566" s="253"/>
      <c r="G1566" s="253" t="s">
        <v>1928</v>
      </c>
      <c r="H1566" s="253"/>
      <c r="I1566" s="14" t="s">
        <v>2566</v>
      </c>
      <c r="K1566" s="14"/>
      <c r="L1566" s="7"/>
      <c r="M1566" s="7"/>
      <c r="O1566" s="98">
        <v>1.3299999999999999E-2</v>
      </c>
    </row>
    <row r="1567" spans="2:15" x14ac:dyDescent="0.25">
      <c r="B1567" s="1"/>
      <c r="C1567" s="189"/>
      <c r="D1567" s="189"/>
      <c r="E1567" s="189"/>
      <c r="F1567" s="189"/>
      <c r="G1567" s="189"/>
      <c r="H1567" s="189"/>
      <c r="I1567" s="14" t="s">
        <v>2567</v>
      </c>
      <c r="K1567" s="14"/>
      <c r="L1567" s="7"/>
      <c r="M1567" s="7"/>
      <c r="O1567" s="98"/>
    </row>
    <row r="1568" spans="2:15" x14ac:dyDescent="0.25">
      <c r="B1568" s="11" t="s">
        <v>1046</v>
      </c>
      <c r="C1568" s="252" t="s">
        <v>891</v>
      </c>
      <c r="D1568" s="252"/>
      <c r="E1568" s="252" t="s">
        <v>1047</v>
      </c>
      <c r="F1568" s="252"/>
      <c r="G1568" s="252" t="s">
        <v>882</v>
      </c>
      <c r="H1568" s="252"/>
      <c r="I1568" s="14" t="s">
        <v>2568</v>
      </c>
      <c r="K1568" s="14"/>
      <c r="L1568" s="7"/>
      <c r="M1568" s="7"/>
      <c r="O1568" s="98">
        <v>5.0499999999999998E-3</v>
      </c>
    </row>
    <row r="1569" spans="2:15" x14ac:dyDescent="0.25">
      <c r="B1569" s="11"/>
      <c r="C1569" s="188"/>
      <c r="D1569" s="188"/>
      <c r="E1569" s="188"/>
      <c r="F1569" s="188"/>
      <c r="G1569" s="188"/>
      <c r="H1569" s="188"/>
      <c r="I1569" s="14" t="s">
        <v>2569</v>
      </c>
      <c r="K1569" s="14"/>
      <c r="L1569" s="7"/>
      <c r="M1569" s="7"/>
      <c r="O1569" s="98"/>
    </row>
    <row r="1570" spans="2:15" x14ac:dyDescent="0.25">
      <c r="B1570" s="1" t="s">
        <v>1224</v>
      </c>
      <c r="C1570" s="253" t="s">
        <v>487</v>
      </c>
      <c r="D1570" s="253"/>
      <c r="E1570" s="253" t="s">
        <v>1026</v>
      </c>
      <c r="F1570" s="253"/>
      <c r="G1570" s="253" t="s">
        <v>1104</v>
      </c>
      <c r="H1570" s="253"/>
      <c r="I1570" s="14" t="s">
        <v>2570</v>
      </c>
      <c r="K1570" s="14"/>
      <c r="L1570" s="7"/>
      <c r="M1570" s="7"/>
      <c r="O1570" s="98">
        <v>2.9979999999999998E-3</v>
      </c>
    </row>
    <row r="1571" spans="2:15" x14ac:dyDescent="0.25">
      <c r="B1571" s="1"/>
      <c r="C1571" s="189"/>
      <c r="D1571" s="189"/>
      <c r="E1571" s="189"/>
      <c r="F1571" s="189"/>
      <c r="G1571" s="189"/>
      <c r="H1571" s="189"/>
      <c r="I1571" s="14" t="s">
        <v>1199</v>
      </c>
      <c r="K1571" s="14"/>
      <c r="L1571" s="7"/>
      <c r="M1571" s="7"/>
      <c r="O1571" s="98"/>
    </row>
    <row r="1572" spans="2:15" x14ac:dyDescent="0.25">
      <c r="B1572" s="11" t="s">
        <v>515</v>
      </c>
      <c r="C1572" s="265" t="s">
        <v>487</v>
      </c>
      <c r="D1572" s="265"/>
      <c r="E1572" s="265" t="s">
        <v>1026</v>
      </c>
      <c r="F1572" s="265"/>
      <c r="G1572" s="265" t="s">
        <v>1104</v>
      </c>
      <c r="H1572" s="265"/>
      <c r="I1572" s="14" t="s">
        <v>1203</v>
      </c>
      <c r="K1572" s="14"/>
      <c r="L1572" s="7"/>
      <c r="M1572" s="7"/>
      <c r="O1572" s="98">
        <v>5.94E-3</v>
      </c>
    </row>
    <row r="1573" spans="2:15" x14ac:dyDescent="0.25">
      <c r="B1573" s="11"/>
      <c r="C1573" s="188"/>
      <c r="D1573" s="188"/>
      <c r="E1573" s="188"/>
      <c r="F1573" s="188"/>
      <c r="G1573" s="188"/>
      <c r="H1573" s="188"/>
      <c r="I1573" s="14" t="s">
        <v>2571</v>
      </c>
      <c r="K1573" s="14"/>
      <c r="O1573" s="98"/>
    </row>
    <row r="1574" spans="2:15" x14ac:dyDescent="0.25">
      <c r="B1574" s="1" t="s">
        <v>2572</v>
      </c>
      <c r="C1574" s="253" t="s">
        <v>2573</v>
      </c>
      <c r="D1574" s="253"/>
      <c r="E1574" s="253" t="s">
        <v>2574</v>
      </c>
      <c r="F1574" s="253"/>
      <c r="G1574" s="253" t="s">
        <v>2575</v>
      </c>
      <c r="H1574" s="253"/>
      <c r="K1574" s="14"/>
      <c r="O1574" s="98">
        <v>5.1999999999999998E-2</v>
      </c>
    </row>
    <row r="1575" spans="2:15" x14ac:dyDescent="0.25">
      <c r="B1575" s="1"/>
      <c r="C1575" s="253"/>
      <c r="D1575" s="253"/>
      <c r="E1575" s="253"/>
      <c r="F1575" s="253"/>
      <c r="G1575" s="253"/>
      <c r="H1575" s="253"/>
      <c r="I1575" s="15" t="s">
        <v>2576</v>
      </c>
      <c r="J1575" s="14"/>
      <c r="K1575" s="14"/>
      <c r="O1575" s="98"/>
    </row>
    <row r="1576" spans="2:15" x14ac:dyDescent="0.25">
      <c r="B1576" s="11" t="s">
        <v>1219</v>
      </c>
      <c r="C1576" s="252" t="s">
        <v>392</v>
      </c>
      <c r="D1576" s="252"/>
      <c r="E1576" s="252" t="s">
        <v>395</v>
      </c>
      <c r="F1576" s="252"/>
      <c r="G1576" s="252" t="s">
        <v>2165</v>
      </c>
      <c r="H1576" s="252"/>
      <c r="I1576" s="14" t="s">
        <v>1665</v>
      </c>
      <c r="J1576" s="14"/>
      <c r="K1576" s="14"/>
      <c r="O1576" s="98">
        <v>2.5600000000000001E-2</v>
      </c>
    </row>
    <row r="1577" spans="2:15" x14ac:dyDescent="0.25">
      <c r="B1577" s="11"/>
      <c r="C1577" s="188"/>
      <c r="D1577" s="188"/>
      <c r="E1577" s="188"/>
      <c r="F1577" s="188"/>
      <c r="G1577" s="188"/>
      <c r="H1577" s="188"/>
      <c r="I1577" s="14" t="s">
        <v>1666</v>
      </c>
      <c r="J1577" s="14"/>
      <c r="K1577" s="14"/>
      <c r="O1577" s="98"/>
    </row>
    <row r="1578" spans="2:15" x14ac:dyDescent="0.25">
      <c r="B1578" s="1" t="s">
        <v>1207</v>
      </c>
      <c r="C1578" s="253" t="s">
        <v>2577</v>
      </c>
      <c r="D1578" s="253"/>
      <c r="E1578" s="253" t="s">
        <v>2578</v>
      </c>
      <c r="F1578" s="253"/>
      <c r="G1578" s="253" t="s">
        <v>2579</v>
      </c>
      <c r="H1578" s="253"/>
      <c r="I1578" s="14"/>
      <c r="K1578" s="14"/>
      <c r="O1578" s="98">
        <v>2.9000000000000001E-2</v>
      </c>
    </row>
    <row r="1579" spans="2:15" x14ac:dyDescent="0.25">
      <c r="B1579" s="1"/>
      <c r="C1579" s="189"/>
      <c r="D1579" s="189"/>
      <c r="E1579" s="189"/>
      <c r="F1579" s="189"/>
      <c r="G1579" s="189"/>
      <c r="H1579" s="189"/>
      <c r="I1579" s="14"/>
      <c r="K1579" s="14"/>
      <c r="O1579" s="98"/>
    </row>
    <row r="1580" spans="2:15" x14ac:dyDescent="0.25">
      <c r="B1580" s="11" t="s">
        <v>397</v>
      </c>
      <c r="C1580" s="252" t="s">
        <v>2580</v>
      </c>
      <c r="D1580" s="252"/>
      <c r="E1580" s="252" t="s">
        <v>2234</v>
      </c>
      <c r="F1580" s="252"/>
      <c r="G1580" s="252" t="s">
        <v>2581</v>
      </c>
      <c r="H1580" s="252"/>
      <c r="I1580" s="14"/>
      <c r="K1580" s="14"/>
      <c r="O1580" s="98">
        <v>0</v>
      </c>
    </row>
    <row r="1581" spans="2:15" x14ac:dyDescent="0.25">
      <c r="B1581" s="11"/>
      <c r="C1581" s="188"/>
      <c r="D1581" s="188"/>
      <c r="E1581" s="188"/>
      <c r="F1581" s="188"/>
      <c r="G1581" s="188"/>
      <c r="H1581" s="188"/>
      <c r="I1581" s="14"/>
      <c r="K1581" s="14"/>
      <c r="O1581" s="98"/>
    </row>
    <row r="1582" spans="2:15" x14ac:dyDescent="0.25">
      <c r="B1582" s="1" t="s">
        <v>518</v>
      </c>
      <c r="C1582" s="255" t="s">
        <v>2582</v>
      </c>
      <c r="D1582" s="255"/>
      <c r="E1582" s="255" t="s">
        <v>391</v>
      </c>
      <c r="F1582" s="255"/>
      <c r="G1582" s="255" t="s">
        <v>1641</v>
      </c>
      <c r="H1582" s="255"/>
      <c r="I1582" s="14"/>
      <c r="K1582" s="14"/>
      <c r="O1582" s="102">
        <v>5.1800000000000001E-4</v>
      </c>
    </row>
    <row r="1583" spans="2:15" x14ac:dyDescent="0.25">
      <c r="B1583" s="1"/>
      <c r="C1583" s="189"/>
      <c r="D1583" s="189"/>
      <c r="E1583" s="189"/>
      <c r="F1583" s="189"/>
      <c r="G1583" s="189"/>
      <c r="H1583" s="189"/>
      <c r="I1583" s="14"/>
      <c r="K1583" s="14"/>
      <c r="O1583" s="98"/>
    </row>
    <row r="1584" spans="2:15" x14ac:dyDescent="0.25">
      <c r="B1584" s="11" t="s">
        <v>2583</v>
      </c>
      <c r="C1584" s="252" t="s">
        <v>1276</v>
      </c>
      <c r="D1584" s="252"/>
      <c r="E1584" s="252" t="s">
        <v>2584</v>
      </c>
      <c r="F1584" s="252"/>
      <c r="G1584" s="252" t="s">
        <v>1213</v>
      </c>
      <c r="H1584" s="252"/>
      <c r="I1584" s="14"/>
      <c r="K1584" s="14"/>
      <c r="O1584" s="98">
        <v>2.4E-2</v>
      </c>
    </row>
    <row r="1585" spans="2:18" x14ac:dyDescent="0.25">
      <c r="B1585" s="11" t="s">
        <v>2585</v>
      </c>
      <c r="C1585" s="252"/>
      <c r="D1585" s="252"/>
      <c r="E1585" s="188"/>
      <c r="F1585" s="188"/>
      <c r="G1585" s="188"/>
      <c r="H1585" s="188"/>
      <c r="I1585" s="14"/>
      <c r="J1585" s="14"/>
      <c r="K1585" s="14"/>
      <c r="O1585" s="98"/>
    </row>
    <row r="1586" spans="2:18" x14ac:dyDescent="0.25">
      <c r="B1586" s="32" t="s">
        <v>2586</v>
      </c>
      <c r="C1586" s="255" t="s">
        <v>1276</v>
      </c>
      <c r="D1586" s="255"/>
      <c r="E1586" s="255" t="s">
        <v>2584</v>
      </c>
      <c r="F1586" s="255"/>
      <c r="G1586" s="255" t="s">
        <v>1213</v>
      </c>
      <c r="H1586" s="255"/>
      <c r="I1586" s="14"/>
      <c r="J1586" s="14"/>
      <c r="K1586" s="14"/>
      <c r="O1586" s="98">
        <v>2.3699999999999999E-2</v>
      </c>
    </row>
    <row r="1587" spans="2:18" x14ac:dyDescent="0.25">
      <c r="B1587" s="32" t="s">
        <v>2585</v>
      </c>
      <c r="C1587" s="191"/>
      <c r="D1587" s="191"/>
      <c r="E1587" s="191"/>
      <c r="F1587" s="191"/>
      <c r="G1587" s="191"/>
      <c r="H1587" s="191"/>
      <c r="I1587" s="15"/>
      <c r="J1587" s="14"/>
      <c r="K1587" s="14"/>
      <c r="O1587" s="98"/>
    </row>
    <row r="1588" spans="2:18" x14ac:dyDescent="0.25">
      <c r="B1588" s="11" t="s">
        <v>1471</v>
      </c>
      <c r="C1588" s="252" t="s">
        <v>1748</v>
      </c>
      <c r="D1588" s="252"/>
      <c r="E1588" s="252" t="s">
        <v>374</v>
      </c>
      <c r="F1588" s="252"/>
      <c r="G1588" s="252" t="s">
        <v>2587</v>
      </c>
      <c r="H1588" s="252"/>
      <c r="I1588" s="14"/>
      <c r="K1588" s="14"/>
      <c r="O1588" s="102">
        <v>1.6199999999999999E-3</v>
      </c>
    </row>
    <row r="1589" spans="2:18" x14ac:dyDescent="0.25">
      <c r="B1589" s="11"/>
      <c r="C1589" s="188"/>
      <c r="D1589" s="188"/>
      <c r="E1589" s="188"/>
      <c r="F1589" s="188"/>
      <c r="G1589" s="188"/>
      <c r="H1589" s="188"/>
      <c r="I1589" s="14"/>
      <c r="K1589" s="14"/>
      <c r="O1589" s="98"/>
    </row>
    <row r="1590" spans="2:18" x14ac:dyDescent="0.25">
      <c r="B1590" s="32" t="s">
        <v>1408</v>
      </c>
      <c r="C1590" s="255" t="s">
        <v>1748</v>
      </c>
      <c r="D1590" s="255"/>
      <c r="E1590" s="255" t="s">
        <v>374</v>
      </c>
      <c r="F1590" s="255"/>
      <c r="G1590" s="255" t="s">
        <v>2587</v>
      </c>
      <c r="H1590" s="255"/>
      <c r="I1590" s="14"/>
      <c r="J1590" s="14"/>
      <c r="O1590" s="98">
        <v>5.7000000000000002E-3</v>
      </c>
    </row>
    <row r="1591" spans="2:18" x14ac:dyDescent="0.25">
      <c r="B1591" s="32"/>
      <c r="C1591" s="191"/>
      <c r="D1591" s="191"/>
      <c r="E1591" s="191"/>
      <c r="F1591" s="191"/>
      <c r="G1591" s="191"/>
      <c r="H1591" s="191"/>
      <c r="J1591" s="14"/>
      <c r="O1591" s="98"/>
    </row>
    <row r="1592" spans="2:18" x14ac:dyDescent="0.25">
      <c r="B1592" s="11" t="s">
        <v>1396</v>
      </c>
      <c r="C1592" s="252" t="s">
        <v>1026</v>
      </c>
      <c r="D1592" s="252"/>
      <c r="E1592" s="252" t="s">
        <v>1027</v>
      </c>
      <c r="F1592" s="252"/>
      <c r="G1592" s="252" t="s">
        <v>1100</v>
      </c>
      <c r="H1592" s="252"/>
      <c r="I1592" s="14"/>
      <c r="O1592" s="98">
        <v>1.18E-2</v>
      </c>
      <c r="Q1592" s="101" t="s">
        <v>2588</v>
      </c>
    </row>
    <row r="1593" spans="2:18" x14ac:dyDescent="0.25">
      <c r="B1593" s="11"/>
      <c r="C1593" s="188"/>
      <c r="D1593" s="188"/>
      <c r="E1593" s="188"/>
      <c r="F1593" s="188"/>
      <c r="G1593" s="188"/>
      <c r="H1593" s="188"/>
      <c r="I1593" s="64"/>
      <c r="J1593" s="14"/>
      <c r="O1593" s="98"/>
    </row>
    <row r="1594" spans="2:18" x14ac:dyDescent="0.25">
      <c r="B1594" s="1" t="s">
        <v>1237</v>
      </c>
      <c r="C1594" s="255" t="s">
        <v>1354</v>
      </c>
      <c r="D1594" s="255"/>
      <c r="E1594" s="255" t="s">
        <v>1355</v>
      </c>
      <c r="F1594" s="255"/>
      <c r="G1594" s="255" t="s">
        <v>2589</v>
      </c>
      <c r="H1594" s="255"/>
      <c r="I1594" s="64"/>
      <c r="J1594" s="14"/>
      <c r="Q1594" s="105">
        <v>0.1638</v>
      </c>
      <c r="R1594" t="s">
        <v>2590</v>
      </c>
    </row>
    <row r="1595" spans="2:18" x14ac:dyDescent="0.25">
      <c r="B1595" s="1"/>
      <c r="C1595" s="191"/>
      <c r="D1595" s="191"/>
      <c r="E1595" s="191"/>
      <c r="F1595" s="191"/>
      <c r="G1595" s="191"/>
      <c r="H1595" s="191"/>
      <c r="I1595" s="64"/>
      <c r="J1595" s="14"/>
      <c r="O1595" s="98"/>
      <c r="Q1595" s="99"/>
    </row>
    <row r="1596" spans="2:18" x14ac:dyDescent="0.25">
      <c r="B1596" s="11" t="s">
        <v>1051</v>
      </c>
      <c r="C1596" s="252" t="s">
        <v>1629</v>
      </c>
      <c r="D1596" s="252"/>
      <c r="E1596" s="252" t="s">
        <v>1223</v>
      </c>
      <c r="F1596" s="252"/>
      <c r="G1596" s="252" t="s">
        <v>891</v>
      </c>
      <c r="H1596" s="252"/>
      <c r="I1596" s="64"/>
      <c r="J1596" s="14"/>
      <c r="O1596" s="102">
        <v>2.4350000000000001E-3</v>
      </c>
      <c r="Q1596" s="117">
        <f>SUM(Q1594:Q1595)</f>
        <v>0.1638</v>
      </c>
    </row>
    <row r="1597" spans="2:18" x14ac:dyDescent="0.25">
      <c r="B1597" s="11"/>
      <c r="C1597" s="188"/>
      <c r="D1597" s="188"/>
      <c r="E1597" s="188"/>
      <c r="F1597" s="188"/>
      <c r="G1597" s="188"/>
      <c r="H1597" s="188"/>
      <c r="I1597" s="64"/>
      <c r="J1597" s="14"/>
      <c r="O1597" s="98"/>
    </row>
    <row r="1598" spans="2:18" x14ac:dyDescent="0.25">
      <c r="B1598" s="32" t="s">
        <v>2591</v>
      </c>
      <c r="C1598" s="255" t="s">
        <v>1429</v>
      </c>
      <c r="D1598" s="255"/>
      <c r="E1598" s="255" t="s">
        <v>491</v>
      </c>
      <c r="F1598" s="255"/>
      <c r="G1598" s="255" t="s">
        <v>1047</v>
      </c>
      <c r="H1598" s="255"/>
      <c r="I1598" s="64"/>
      <c r="J1598" s="14"/>
      <c r="O1598" s="98">
        <v>6.6E-3</v>
      </c>
    </row>
    <row r="1599" spans="2:18" x14ac:dyDescent="0.25">
      <c r="B1599" s="32"/>
      <c r="C1599" s="191"/>
      <c r="D1599" s="191"/>
      <c r="E1599" s="191"/>
      <c r="F1599" s="191"/>
      <c r="G1599" s="191"/>
      <c r="H1599" s="191"/>
      <c r="I1599" s="64"/>
      <c r="J1599" s="14"/>
      <c r="O1599" s="98"/>
    </row>
    <row r="1600" spans="2:18" x14ac:dyDescent="0.25">
      <c r="B1600" s="11" t="s">
        <v>2592</v>
      </c>
      <c r="C1600" s="252" t="s">
        <v>2593</v>
      </c>
      <c r="D1600" s="252"/>
      <c r="E1600" s="252" t="s">
        <v>678</v>
      </c>
      <c r="F1600" s="252"/>
      <c r="G1600" s="252" t="s">
        <v>2594</v>
      </c>
      <c r="H1600" s="252"/>
      <c r="I1600" s="64"/>
      <c r="J1600" s="14"/>
      <c r="O1600" s="105">
        <v>8.6700000000000004E-4</v>
      </c>
    </row>
    <row r="1601" spans="2:18" ht="15.75" thickBot="1" x14ac:dyDescent="0.3">
      <c r="B1601" s="11"/>
      <c r="C1601" s="188"/>
      <c r="D1601" s="188"/>
      <c r="E1601" s="188"/>
      <c r="F1601" s="188"/>
      <c r="G1601" s="188"/>
      <c r="H1601" s="188"/>
      <c r="I1601" s="64"/>
      <c r="J1601" s="14"/>
      <c r="O1601" s="98"/>
    </row>
    <row r="1602" spans="2:18" x14ac:dyDescent="0.25">
      <c r="B1602" s="274" t="s">
        <v>401</v>
      </c>
      <c r="C1602" s="275"/>
      <c r="D1602" s="275"/>
      <c r="E1602" s="275"/>
      <c r="F1602" s="275"/>
      <c r="G1602" s="275"/>
      <c r="H1602" s="275"/>
      <c r="I1602" s="275"/>
      <c r="J1602" s="275"/>
      <c r="K1602" s="275"/>
      <c r="L1602" s="275"/>
      <c r="M1602" s="276"/>
      <c r="O1602" s="100">
        <f>SUM(O1560:O1601)</f>
        <v>0.51502799999999993</v>
      </c>
    </row>
    <row r="1603" spans="2:18" x14ac:dyDescent="0.25">
      <c r="B1603" s="3" t="s">
        <v>402</v>
      </c>
      <c r="C1603" s="232" t="s">
        <v>403</v>
      </c>
      <c r="D1603" s="232"/>
      <c r="E1603" s="233" t="s">
        <v>404</v>
      </c>
      <c r="F1603" s="233"/>
      <c r="G1603" s="232" t="s">
        <v>407</v>
      </c>
      <c r="H1603" s="232"/>
      <c r="I1603" s="234" t="s">
        <v>406</v>
      </c>
      <c r="J1603" s="277"/>
      <c r="K1603" s="234" t="s">
        <v>468</v>
      </c>
      <c r="L1603" s="235"/>
      <c r="M1603" s="236"/>
    </row>
    <row r="1604" spans="2:18" ht="15.75" thickBot="1" x14ac:dyDescent="0.3">
      <c r="B1604" s="5">
        <v>3.22</v>
      </c>
      <c r="C1604" s="237"/>
      <c r="D1604" s="238"/>
      <c r="E1604" s="239">
        <v>0.39</v>
      </c>
      <c r="F1604" s="238"/>
      <c r="G1604" s="240">
        <v>5.8999999999999997E-2</v>
      </c>
      <c r="H1604" s="240"/>
      <c r="I1604" s="242"/>
      <c r="J1604" s="278"/>
      <c r="K1604" s="242"/>
      <c r="L1604" s="243"/>
      <c r="M1604" s="244"/>
    </row>
    <row r="1605" spans="2:18" x14ac:dyDescent="0.25">
      <c r="B1605" s="1"/>
      <c r="C1605" s="1"/>
      <c r="D1605" s="1"/>
      <c r="E1605" s="1"/>
      <c r="F1605" s="1"/>
      <c r="G1605" s="1"/>
      <c r="H1605" s="1"/>
    </row>
    <row r="1606" spans="2:18" x14ac:dyDescent="0.25">
      <c r="B1606" s="217" t="s">
        <v>408</v>
      </c>
      <c r="C1606" s="218"/>
      <c r="D1606" s="218"/>
      <c r="E1606" s="218"/>
      <c r="F1606" s="218"/>
      <c r="G1606" s="218"/>
      <c r="H1606" s="218"/>
      <c r="I1606" s="218"/>
      <c r="J1606" s="218"/>
      <c r="K1606" s="218"/>
      <c r="L1606" s="218"/>
      <c r="M1606" s="219"/>
    </row>
    <row r="1607" spans="2:18" x14ac:dyDescent="0.25">
      <c r="B1607" s="122" t="s">
        <v>2595</v>
      </c>
      <c r="C1607" s="220" t="s">
        <v>2596</v>
      </c>
      <c r="D1607" s="220"/>
      <c r="E1607" s="221" t="s">
        <v>1411</v>
      </c>
      <c r="F1607" s="221"/>
      <c r="G1607" s="221" t="s">
        <v>2597</v>
      </c>
      <c r="H1607" s="221"/>
      <c r="I1607" s="220" t="s">
        <v>2598</v>
      </c>
      <c r="J1607" s="220"/>
      <c r="K1607" s="220" t="s">
        <v>2351</v>
      </c>
      <c r="L1607" s="220"/>
      <c r="M1607" s="222"/>
    </row>
    <row r="1608" spans="2:18" x14ac:dyDescent="0.25">
      <c r="B1608" s="124" t="s">
        <v>2599</v>
      </c>
      <c r="C1608" s="245" t="s">
        <v>1062</v>
      </c>
      <c r="D1608" s="246"/>
      <c r="E1608" s="248" t="s">
        <v>2600</v>
      </c>
      <c r="F1608" s="248"/>
      <c r="G1608" s="247" t="s">
        <v>2601</v>
      </c>
      <c r="H1608" s="247"/>
      <c r="I1608" s="248" t="s">
        <v>2602</v>
      </c>
      <c r="J1608" s="248"/>
      <c r="K1608" s="247" t="s">
        <v>2603</v>
      </c>
      <c r="L1608" s="247"/>
      <c r="M1608" s="249"/>
    </row>
    <row r="1609" spans="2:18" ht="15.75" customHeight="1" x14ac:dyDescent="0.25">
      <c r="B1609" s="168" t="s">
        <v>2604</v>
      </c>
      <c r="C1609" s="291" t="s">
        <v>1687</v>
      </c>
      <c r="D1609" s="292"/>
      <c r="E1609" s="259" t="s">
        <v>2605</v>
      </c>
      <c r="F1609" s="259"/>
      <c r="G1609" s="260" t="s">
        <v>2606</v>
      </c>
      <c r="H1609" s="260"/>
      <c r="I1609" s="260" t="s">
        <v>2607</v>
      </c>
      <c r="J1609" s="260"/>
      <c r="K1609" s="260" t="s">
        <v>2608</v>
      </c>
      <c r="L1609" s="260"/>
      <c r="M1609" s="261"/>
    </row>
    <row r="1611" spans="2:18" ht="23.25" x14ac:dyDescent="0.35">
      <c r="B1611" s="29" t="s">
        <v>334</v>
      </c>
      <c r="C1611" s="36" t="s">
        <v>202</v>
      </c>
      <c r="D1611" s="36"/>
      <c r="E1611" s="36"/>
      <c r="F1611" s="36"/>
      <c r="G1611" s="36"/>
      <c r="H1611" s="36"/>
      <c r="I1611" s="36"/>
      <c r="J1611" s="36"/>
    </row>
    <row r="1612" spans="2:18" ht="18.75" x14ac:dyDescent="0.3">
      <c r="B1612" s="12" t="s">
        <v>335</v>
      </c>
      <c r="C1612" s="195" t="s">
        <v>336</v>
      </c>
      <c r="D1612" s="228" t="s">
        <v>427</v>
      </c>
      <c r="E1612" s="228"/>
      <c r="F1612" s="1" t="s">
        <v>2096</v>
      </c>
      <c r="L1612" s="12" t="s">
        <v>339</v>
      </c>
      <c r="M1612" s="6" t="s">
        <v>201</v>
      </c>
    </row>
    <row r="1614" spans="2:18" x14ac:dyDescent="0.25">
      <c r="B1614" s="2" t="s">
        <v>341</v>
      </c>
      <c r="C1614" s="250" t="s">
        <v>2609</v>
      </c>
      <c r="D1614" s="250"/>
      <c r="E1614" s="250" t="s">
        <v>430</v>
      </c>
      <c r="F1614" s="250"/>
      <c r="G1614" s="250" t="s">
        <v>805</v>
      </c>
      <c r="H1614" s="250"/>
      <c r="I1614" s="228" t="s">
        <v>345</v>
      </c>
      <c r="J1614" s="228"/>
      <c r="K1614" s="228"/>
      <c r="L1614" s="228"/>
      <c r="M1614" s="228"/>
      <c r="O1614" s="101" t="s">
        <v>732</v>
      </c>
      <c r="Q1614" s="101" t="s">
        <v>2588</v>
      </c>
    </row>
    <row r="1615" spans="2:18" x14ac:dyDescent="0.25">
      <c r="C1615" s="251"/>
      <c r="D1615" s="251"/>
      <c r="E1615" s="251"/>
      <c r="F1615" s="251"/>
      <c r="G1615" s="251"/>
      <c r="H1615" s="251"/>
      <c r="I1615" s="7"/>
      <c r="J1615" s="7"/>
      <c r="K1615" s="7"/>
      <c r="L1615" s="7"/>
      <c r="M1615" s="7"/>
    </row>
    <row r="1616" spans="2:18" x14ac:dyDescent="0.25">
      <c r="B1616" s="11" t="s">
        <v>677</v>
      </c>
      <c r="C1616" s="230" t="s">
        <v>880</v>
      </c>
      <c r="D1616" s="230"/>
      <c r="E1616" s="230" t="s">
        <v>508</v>
      </c>
      <c r="F1616" s="230"/>
      <c r="G1616" s="230" t="s">
        <v>390</v>
      </c>
      <c r="H1616" s="230"/>
      <c r="I1616" s="14" t="s">
        <v>2610</v>
      </c>
      <c r="K1616" s="14"/>
      <c r="L1616" s="7"/>
      <c r="M1616" s="7"/>
      <c r="O1616" s="102">
        <v>2.8779999999999999E-3</v>
      </c>
      <c r="Q1616" s="105">
        <v>0.1638</v>
      </c>
      <c r="R1616" t="s">
        <v>2590</v>
      </c>
    </row>
    <row r="1617" spans="2:17" x14ac:dyDescent="0.25">
      <c r="B1617" s="11"/>
      <c r="C1617" s="185"/>
      <c r="D1617" s="185"/>
      <c r="E1617" s="185"/>
      <c r="F1617" s="185"/>
      <c r="G1617" s="188"/>
      <c r="H1617" s="188"/>
      <c r="I1617" s="14" t="s">
        <v>2611</v>
      </c>
      <c r="K1617" s="14"/>
      <c r="L1617" s="7"/>
      <c r="M1617" s="7"/>
      <c r="O1617" s="98"/>
      <c r="Q1617" s="99"/>
    </row>
    <row r="1618" spans="2:17" x14ac:dyDescent="0.25">
      <c r="B1618" s="1" t="s">
        <v>1796</v>
      </c>
      <c r="C1618" s="253" t="s">
        <v>2612</v>
      </c>
      <c r="D1618" s="253"/>
      <c r="E1618" s="283" t="s">
        <v>1915</v>
      </c>
      <c r="F1618" s="283"/>
      <c r="G1618" s="283" t="s">
        <v>2613</v>
      </c>
      <c r="H1618" s="283"/>
      <c r="I1618" s="14" t="s">
        <v>2614</v>
      </c>
      <c r="K1618" s="14"/>
      <c r="L1618" s="7"/>
      <c r="M1618" s="7"/>
      <c r="O1618" s="98">
        <v>1.4487999999999999E-2</v>
      </c>
      <c r="Q1618" s="117">
        <f>SUM(Q1616:Q1617)</f>
        <v>0.1638</v>
      </c>
    </row>
    <row r="1619" spans="2:17" x14ac:dyDescent="0.25">
      <c r="B1619" s="1" t="s">
        <v>1801</v>
      </c>
      <c r="C1619" s="253" t="s">
        <v>1217</v>
      </c>
      <c r="D1619" s="253"/>
      <c r="E1619" s="253" t="s">
        <v>2615</v>
      </c>
      <c r="F1619" s="253"/>
      <c r="G1619" s="253" t="s">
        <v>2616</v>
      </c>
      <c r="H1619" s="253"/>
      <c r="I1619" t="s">
        <v>2617</v>
      </c>
      <c r="K1619" s="14"/>
      <c r="L1619" s="7"/>
      <c r="M1619" s="7"/>
      <c r="O1619" s="98"/>
    </row>
    <row r="1620" spans="2:17" x14ac:dyDescent="0.25">
      <c r="B1620" s="11" t="s">
        <v>2268</v>
      </c>
      <c r="C1620" s="230" t="s">
        <v>2618</v>
      </c>
      <c r="D1620" s="230"/>
      <c r="E1620" s="230" t="s">
        <v>1093</v>
      </c>
      <c r="F1620" s="230"/>
      <c r="G1620" s="230" t="s">
        <v>2619</v>
      </c>
      <c r="H1620" s="230"/>
      <c r="I1620" s="14" t="s">
        <v>2620</v>
      </c>
      <c r="K1620" s="14"/>
      <c r="L1620" s="7"/>
      <c r="M1620" s="7"/>
      <c r="O1620" s="98">
        <v>7.6E-3</v>
      </c>
    </row>
    <row r="1621" spans="2:17" x14ac:dyDescent="0.25">
      <c r="B1621" s="11" t="s">
        <v>1583</v>
      </c>
      <c r="C1621" s="185"/>
      <c r="D1621" s="185"/>
      <c r="E1621" s="185"/>
      <c r="F1621" s="185"/>
      <c r="G1621" s="252"/>
      <c r="H1621" s="252"/>
      <c r="I1621" s="14" t="s">
        <v>2621</v>
      </c>
      <c r="K1621" s="14"/>
      <c r="L1621" s="7"/>
      <c r="M1621" s="7"/>
      <c r="O1621" s="98"/>
    </row>
    <row r="1622" spans="2:17" x14ac:dyDescent="0.25">
      <c r="B1622" s="1" t="s">
        <v>454</v>
      </c>
      <c r="C1622" s="283" t="s">
        <v>678</v>
      </c>
      <c r="D1622" s="283"/>
      <c r="E1622" s="283" t="s">
        <v>391</v>
      </c>
      <c r="F1622" s="283"/>
      <c r="G1622" s="283" t="s">
        <v>374</v>
      </c>
      <c r="H1622" s="283"/>
      <c r="I1622" s="14" t="s">
        <v>2622</v>
      </c>
      <c r="K1622" s="14"/>
      <c r="L1622" s="7"/>
      <c r="M1622" s="7"/>
      <c r="O1622" s="98">
        <v>4.6559999999999997E-2</v>
      </c>
    </row>
    <row r="1623" spans="2:17" x14ac:dyDescent="0.25">
      <c r="B1623" s="1"/>
      <c r="C1623" s="195"/>
      <c r="D1623" s="195"/>
      <c r="E1623" s="195"/>
      <c r="F1623" s="195"/>
      <c r="G1623" s="189"/>
      <c r="H1623" s="189"/>
      <c r="I1623" t="s">
        <v>1459</v>
      </c>
      <c r="K1623" s="14"/>
      <c r="L1623" s="7"/>
      <c r="M1623" s="7"/>
      <c r="O1623" s="98"/>
    </row>
    <row r="1624" spans="2:17" x14ac:dyDescent="0.25">
      <c r="B1624" s="11" t="s">
        <v>2108</v>
      </c>
      <c r="C1624" s="230" t="s">
        <v>880</v>
      </c>
      <c r="D1624" s="230"/>
      <c r="E1624" s="230" t="s">
        <v>508</v>
      </c>
      <c r="F1624" s="230"/>
      <c r="G1624" s="230" t="s">
        <v>390</v>
      </c>
      <c r="H1624" s="230"/>
      <c r="I1624" s="14" t="s">
        <v>2623</v>
      </c>
      <c r="K1624" s="14"/>
      <c r="L1624" s="7"/>
      <c r="M1624" s="7"/>
      <c r="O1624" s="98">
        <v>2.1000000000000001E-2</v>
      </c>
    </row>
    <row r="1625" spans="2:17" x14ac:dyDescent="0.25">
      <c r="B1625" s="11"/>
      <c r="C1625" s="185"/>
      <c r="D1625" s="185"/>
      <c r="E1625" s="185"/>
      <c r="F1625" s="185"/>
      <c r="G1625" s="188"/>
      <c r="H1625" s="188"/>
      <c r="I1625" s="14" t="s">
        <v>2624</v>
      </c>
      <c r="K1625" s="14"/>
      <c r="L1625" s="7"/>
      <c r="M1625" s="7"/>
      <c r="O1625" s="98"/>
    </row>
    <row r="1626" spans="2:17" x14ac:dyDescent="0.25">
      <c r="B1626" s="1" t="s">
        <v>889</v>
      </c>
      <c r="C1626" s="283" t="s">
        <v>891</v>
      </c>
      <c r="D1626" s="283"/>
      <c r="E1626" s="283" t="s">
        <v>2625</v>
      </c>
      <c r="F1626" s="283"/>
      <c r="G1626" s="283" t="s">
        <v>456</v>
      </c>
      <c r="H1626" s="283"/>
      <c r="I1626" s="14" t="s">
        <v>2626</v>
      </c>
      <c r="K1626" s="14"/>
      <c r="L1626" s="7"/>
      <c r="M1626" s="7"/>
      <c r="O1626" s="98">
        <v>2.1999999999999999E-2</v>
      </c>
    </row>
    <row r="1627" spans="2:17" x14ac:dyDescent="0.25">
      <c r="B1627" s="1"/>
      <c r="C1627" s="283"/>
      <c r="D1627" s="283"/>
      <c r="E1627" s="283"/>
      <c r="F1627" s="283"/>
      <c r="G1627" s="195"/>
      <c r="H1627" s="195"/>
      <c r="I1627" s="14" t="s">
        <v>2627</v>
      </c>
      <c r="K1627" s="14"/>
      <c r="L1627" s="7"/>
      <c r="M1627" s="7"/>
      <c r="O1627" s="98"/>
    </row>
    <row r="1628" spans="2:17" x14ac:dyDescent="0.25">
      <c r="B1628" s="11" t="s">
        <v>1224</v>
      </c>
      <c r="C1628" s="230" t="s">
        <v>1645</v>
      </c>
      <c r="D1628" s="230"/>
      <c r="E1628" s="230" t="s">
        <v>513</v>
      </c>
      <c r="F1628" s="230"/>
      <c r="G1628" s="317" t="s">
        <v>517</v>
      </c>
      <c r="H1628" s="317"/>
      <c r="I1628" s="14" t="s">
        <v>2628</v>
      </c>
      <c r="K1628" s="14"/>
      <c r="L1628" s="7"/>
      <c r="M1628" s="7"/>
      <c r="O1628" s="102">
        <v>1.75E-3</v>
      </c>
    </row>
    <row r="1629" spans="2:17" x14ac:dyDescent="0.25">
      <c r="B1629" s="11"/>
      <c r="C1629" s="185"/>
      <c r="D1629" s="185"/>
      <c r="E1629" s="185"/>
      <c r="F1629" s="185"/>
      <c r="G1629" s="185"/>
      <c r="H1629" s="185"/>
      <c r="I1629" s="14" t="s">
        <v>612</v>
      </c>
      <c r="K1629" s="14"/>
      <c r="O1629" s="98"/>
    </row>
    <row r="1630" spans="2:17" x14ac:dyDescent="0.25">
      <c r="B1630" s="1" t="s">
        <v>2629</v>
      </c>
      <c r="C1630" s="283" t="s">
        <v>880</v>
      </c>
      <c r="D1630" s="283"/>
      <c r="E1630" s="283" t="s">
        <v>508</v>
      </c>
      <c r="F1630" s="283"/>
      <c r="G1630" s="283" t="s">
        <v>390</v>
      </c>
      <c r="H1630" s="283"/>
      <c r="I1630" s="14" t="s">
        <v>2630</v>
      </c>
      <c r="K1630" s="14"/>
      <c r="O1630" s="102">
        <v>4.9399999999999999E-3</v>
      </c>
    </row>
    <row r="1631" spans="2:17" x14ac:dyDescent="0.25">
      <c r="B1631" s="1"/>
      <c r="C1631" s="195"/>
      <c r="D1631" s="195"/>
      <c r="E1631" s="195"/>
      <c r="F1631" s="195"/>
      <c r="G1631" s="283"/>
      <c r="H1631" s="283"/>
      <c r="I1631" s="14" t="s">
        <v>2631</v>
      </c>
      <c r="J1631" s="14"/>
      <c r="K1631" s="14"/>
      <c r="O1631" s="98"/>
    </row>
    <row r="1632" spans="2:17" x14ac:dyDescent="0.25">
      <c r="B1632" s="11" t="s">
        <v>1048</v>
      </c>
      <c r="C1632" s="230" t="s">
        <v>491</v>
      </c>
      <c r="D1632" s="230"/>
      <c r="E1632" s="230" t="s">
        <v>390</v>
      </c>
      <c r="F1632" s="230"/>
      <c r="G1632" s="230" t="s">
        <v>392</v>
      </c>
      <c r="H1632" s="230"/>
      <c r="I1632" s="14"/>
      <c r="J1632" s="14"/>
      <c r="K1632" s="14"/>
      <c r="O1632" s="98">
        <v>5.9500000000000004E-3</v>
      </c>
    </row>
    <row r="1633" spans="2:15" x14ac:dyDescent="0.25">
      <c r="B1633" s="11"/>
      <c r="C1633" s="185"/>
      <c r="D1633" s="185"/>
      <c r="E1633" s="185"/>
      <c r="F1633" s="185"/>
      <c r="G1633" s="185"/>
      <c r="H1633" s="185"/>
      <c r="I1633" s="15"/>
      <c r="J1633" s="14"/>
      <c r="K1633" s="14"/>
      <c r="O1633" s="98"/>
    </row>
    <row r="1634" spans="2:15" x14ac:dyDescent="0.25">
      <c r="B1634" s="1" t="s">
        <v>2632</v>
      </c>
      <c r="C1634" s="283" t="s">
        <v>1892</v>
      </c>
      <c r="D1634" s="283"/>
      <c r="E1634" s="283" t="s">
        <v>2633</v>
      </c>
      <c r="F1634" s="283"/>
      <c r="G1634" s="283" t="s">
        <v>2634</v>
      </c>
      <c r="H1634" s="283"/>
      <c r="I1634" s="14"/>
      <c r="K1634" s="14"/>
      <c r="O1634" s="98">
        <v>8.3400000000000002E-2</v>
      </c>
    </row>
    <row r="1635" spans="2:15" x14ac:dyDescent="0.25">
      <c r="B1635" s="1" t="s">
        <v>2635</v>
      </c>
      <c r="C1635" s="283"/>
      <c r="D1635" s="283"/>
      <c r="E1635" s="283"/>
      <c r="F1635" s="283"/>
      <c r="G1635" s="195"/>
      <c r="H1635" s="195"/>
      <c r="I1635" s="14"/>
      <c r="K1635" s="14"/>
      <c r="O1635" s="98"/>
    </row>
    <row r="1636" spans="2:15" x14ac:dyDescent="0.25">
      <c r="B1636" s="11" t="s">
        <v>2636</v>
      </c>
      <c r="C1636" s="230" t="s">
        <v>2637</v>
      </c>
      <c r="D1636" s="230"/>
      <c r="E1636" s="230" t="s">
        <v>2638</v>
      </c>
      <c r="F1636" s="230"/>
      <c r="G1636" s="230" t="s">
        <v>2639</v>
      </c>
      <c r="H1636" s="230"/>
      <c r="I1636" s="14"/>
      <c r="K1636" s="14"/>
      <c r="O1636" s="98">
        <v>1.6199999999999999E-2</v>
      </c>
    </row>
    <row r="1637" spans="2:15" x14ac:dyDescent="0.25">
      <c r="B1637" s="11" t="s">
        <v>2635</v>
      </c>
      <c r="C1637" s="185"/>
      <c r="D1637" s="185"/>
      <c r="E1637" s="185"/>
      <c r="F1637" s="185"/>
      <c r="G1637" s="185"/>
      <c r="H1637" s="185"/>
      <c r="I1637" s="14"/>
      <c r="K1637" s="14"/>
      <c r="O1637" s="98"/>
    </row>
    <row r="1638" spans="2:15" x14ac:dyDescent="0.25">
      <c r="B1638" s="1" t="s">
        <v>2640</v>
      </c>
      <c r="C1638" s="283" t="s">
        <v>2641</v>
      </c>
      <c r="D1638" s="283"/>
      <c r="E1638" s="283" t="s">
        <v>2642</v>
      </c>
      <c r="F1638" s="283"/>
      <c r="G1638" s="283" t="s">
        <v>2643</v>
      </c>
      <c r="H1638" s="283"/>
      <c r="I1638" s="14"/>
      <c r="K1638" s="14"/>
      <c r="O1638" s="98">
        <v>6.2280000000000002E-2</v>
      </c>
    </row>
    <row r="1639" spans="2:15" x14ac:dyDescent="0.25">
      <c r="B1639" s="1" t="s">
        <v>2644</v>
      </c>
      <c r="C1639" s="195"/>
      <c r="D1639" s="195"/>
      <c r="E1639" s="195"/>
      <c r="F1639" s="195"/>
      <c r="G1639" s="195"/>
      <c r="H1639" s="195"/>
      <c r="I1639" s="14"/>
      <c r="K1639" s="14"/>
      <c r="O1639" s="98"/>
    </row>
    <row r="1640" spans="2:15" x14ac:dyDescent="0.25">
      <c r="B1640" s="11" t="s">
        <v>397</v>
      </c>
      <c r="C1640" s="230" t="s">
        <v>491</v>
      </c>
      <c r="D1640" s="230"/>
      <c r="E1640" s="230" t="s">
        <v>390</v>
      </c>
      <c r="F1640" s="230"/>
      <c r="G1640" s="230" t="s">
        <v>392</v>
      </c>
      <c r="H1640" s="230"/>
      <c r="I1640" s="14"/>
      <c r="K1640" s="14"/>
      <c r="O1640" s="98">
        <v>0</v>
      </c>
    </row>
    <row r="1641" spans="2:15" x14ac:dyDescent="0.25">
      <c r="B1641" s="11"/>
      <c r="C1641" s="185"/>
      <c r="D1641" s="185"/>
      <c r="E1641" s="185"/>
      <c r="F1641" s="185"/>
      <c r="G1641" s="185"/>
      <c r="H1641" s="185"/>
      <c r="I1641" s="14"/>
      <c r="J1641" s="14"/>
      <c r="K1641" s="14"/>
      <c r="O1641" s="98"/>
    </row>
    <row r="1642" spans="2:15" x14ac:dyDescent="0.25">
      <c r="B1642" s="1" t="s">
        <v>2645</v>
      </c>
      <c r="C1642" s="318" t="s">
        <v>2646</v>
      </c>
      <c r="D1642" s="283"/>
      <c r="E1642" s="318" t="s">
        <v>1915</v>
      </c>
      <c r="F1642" s="283"/>
      <c r="G1642" s="288" t="s">
        <v>2613</v>
      </c>
      <c r="H1642" s="288"/>
      <c r="I1642" s="14"/>
      <c r="J1642" s="14"/>
      <c r="K1642" s="14"/>
      <c r="O1642" s="98">
        <v>4.4999999999999998E-2</v>
      </c>
    </row>
    <row r="1643" spans="2:15" x14ac:dyDescent="0.25">
      <c r="B1643" s="1"/>
      <c r="C1643" s="195"/>
      <c r="D1643" s="195"/>
      <c r="E1643" s="195"/>
      <c r="F1643" s="195"/>
      <c r="G1643" s="198"/>
      <c r="H1643" s="198"/>
      <c r="I1643" s="15"/>
      <c r="J1643" s="14"/>
      <c r="K1643" s="14"/>
      <c r="O1643" s="98"/>
    </row>
    <row r="1644" spans="2:15" x14ac:dyDescent="0.25">
      <c r="B1644" s="11" t="s">
        <v>1854</v>
      </c>
      <c r="C1644" s="230" t="s">
        <v>2647</v>
      </c>
      <c r="D1644" s="230"/>
      <c r="E1644" s="230" t="s">
        <v>2648</v>
      </c>
      <c r="F1644" s="230"/>
      <c r="G1644" s="230" t="s">
        <v>2649</v>
      </c>
      <c r="H1644" s="230"/>
      <c r="I1644" s="14"/>
      <c r="K1644" s="14"/>
      <c r="O1644" s="98"/>
    </row>
    <row r="1645" spans="2:15" x14ac:dyDescent="0.25">
      <c r="B1645" s="11" t="s">
        <v>869</v>
      </c>
      <c r="C1645" s="185"/>
      <c r="D1645" s="185"/>
      <c r="E1645" s="185"/>
      <c r="F1645" s="185"/>
      <c r="G1645" s="185"/>
      <c r="H1645" s="185"/>
      <c r="I1645" s="14"/>
      <c r="K1645" s="14"/>
      <c r="O1645" s="98"/>
    </row>
    <row r="1646" spans="2:15" x14ac:dyDescent="0.25">
      <c r="B1646" s="1" t="s">
        <v>2650</v>
      </c>
      <c r="C1646" s="283" t="s">
        <v>390</v>
      </c>
      <c r="D1646" s="283"/>
      <c r="E1646" s="283" t="s">
        <v>786</v>
      </c>
      <c r="F1646" s="283"/>
      <c r="G1646" s="288" t="s">
        <v>383</v>
      </c>
      <c r="H1646" s="288"/>
      <c r="I1646" s="14"/>
      <c r="J1646" s="14"/>
      <c r="O1646" s="98">
        <v>0.2</v>
      </c>
    </row>
    <row r="1647" spans="2:15" x14ac:dyDescent="0.25">
      <c r="B1647" s="1"/>
      <c r="C1647" s="195"/>
      <c r="D1647" s="195"/>
      <c r="E1647" s="195"/>
      <c r="F1647" s="195"/>
      <c r="G1647" s="198"/>
      <c r="H1647" s="198"/>
      <c r="I1647" s="15"/>
      <c r="J1647" s="14"/>
      <c r="O1647" s="98"/>
    </row>
    <row r="1648" spans="2:15" x14ac:dyDescent="0.25">
      <c r="B1648" s="11" t="s">
        <v>2651</v>
      </c>
      <c r="C1648" s="230" t="s">
        <v>437</v>
      </c>
      <c r="D1648" s="230"/>
      <c r="E1648" s="230" t="s">
        <v>2652</v>
      </c>
      <c r="F1648" s="230"/>
      <c r="G1648" s="230" t="s">
        <v>1518</v>
      </c>
      <c r="H1648" s="230"/>
      <c r="I1648" s="14"/>
      <c r="J1648" s="14"/>
      <c r="O1648" s="98">
        <v>3.3980000000000003E-2</v>
      </c>
    </row>
    <row r="1649" spans="2:15" x14ac:dyDescent="0.25">
      <c r="B1649" s="11"/>
      <c r="C1649" s="11"/>
      <c r="D1649" s="11"/>
      <c r="E1649" s="11"/>
      <c r="F1649" s="11"/>
      <c r="G1649" s="185"/>
      <c r="H1649" s="185"/>
      <c r="I1649" s="14"/>
      <c r="O1649" s="98"/>
    </row>
    <row r="1650" spans="2:15" x14ac:dyDescent="0.25">
      <c r="B1650" s="1" t="s">
        <v>2653</v>
      </c>
      <c r="C1650" s="283" t="s">
        <v>1833</v>
      </c>
      <c r="D1650" s="283"/>
      <c r="E1650" s="283" t="s">
        <v>1809</v>
      </c>
      <c r="F1650" s="283"/>
      <c r="G1650" s="288" t="s">
        <v>1982</v>
      </c>
      <c r="H1650" s="288"/>
      <c r="I1650" s="14"/>
      <c r="O1650" s="98">
        <v>9.8000000000000004E-2</v>
      </c>
    </row>
    <row r="1651" spans="2:15" x14ac:dyDescent="0.25">
      <c r="B1651" s="1"/>
      <c r="C1651" s="1"/>
      <c r="D1651" s="1"/>
      <c r="E1651" s="1"/>
      <c r="F1651" s="1"/>
      <c r="G1651" s="198"/>
      <c r="H1651" s="198"/>
      <c r="I1651" s="64"/>
      <c r="J1651" s="14"/>
      <c r="O1651" s="98"/>
    </row>
    <row r="1652" spans="2:15" x14ac:dyDescent="0.25">
      <c r="B1652" s="11" t="s">
        <v>518</v>
      </c>
      <c r="C1652" s="230" t="s">
        <v>486</v>
      </c>
      <c r="D1652" s="230"/>
      <c r="E1652" s="230" t="s">
        <v>666</v>
      </c>
      <c r="F1652" s="230"/>
      <c r="G1652" s="230" t="s">
        <v>2654</v>
      </c>
      <c r="H1652" s="230"/>
      <c r="I1652" s="64"/>
      <c r="J1652" s="14"/>
      <c r="O1652" s="109">
        <v>4.8749999999999998E-4</v>
      </c>
    </row>
    <row r="1653" spans="2:15" ht="15.75" thickBot="1" x14ac:dyDescent="0.3">
      <c r="B1653" s="11"/>
      <c r="C1653" s="11"/>
      <c r="D1653" s="11"/>
      <c r="E1653" s="11"/>
      <c r="F1653" s="11"/>
      <c r="G1653" s="185"/>
      <c r="H1653" s="185"/>
      <c r="I1653" s="64"/>
      <c r="J1653" s="14"/>
      <c r="O1653" s="98"/>
    </row>
    <row r="1654" spans="2:15" x14ac:dyDescent="0.25">
      <c r="B1654" s="274" t="s">
        <v>401</v>
      </c>
      <c r="C1654" s="275"/>
      <c r="D1654" s="275"/>
      <c r="E1654" s="275"/>
      <c r="F1654" s="275"/>
      <c r="G1654" s="275"/>
      <c r="H1654" s="275"/>
      <c r="I1654" s="275"/>
      <c r="J1654" s="275"/>
      <c r="K1654" s="275"/>
      <c r="L1654" s="275"/>
      <c r="M1654" s="276"/>
      <c r="O1654" s="100">
        <f>SUM(O1616:O1652)</f>
        <v>0.66651349999999998</v>
      </c>
    </row>
    <row r="1655" spans="2:15" x14ac:dyDescent="0.25">
      <c r="B1655" s="3" t="s">
        <v>402</v>
      </c>
      <c r="C1655" s="232" t="s">
        <v>403</v>
      </c>
      <c r="D1655" s="232"/>
      <c r="E1655" s="232" t="s">
        <v>467</v>
      </c>
      <c r="F1655" s="232"/>
      <c r="G1655" s="232" t="s">
        <v>405</v>
      </c>
      <c r="H1655" s="232"/>
      <c r="I1655" s="234" t="s">
        <v>406</v>
      </c>
      <c r="J1655" s="277"/>
      <c r="K1655" s="234" t="s">
        <v>468</v>
      </c>
      <c r="L1655" s="235"/>
      <c r="M1655" s="236"/>
    </row>
    <row r="1656" spans="2:15" ht="15.75" thickBot="1" x14ac:dyDescent="0.3">
      <c r="B1656" s="5">
        <v>3.9</v>
      </c>
      <c r="C1656" s="237"/>
      <c r="D1656" s="238"/>
      <c r="E1656" s="239">
        <v>0.38</v>
      </c>
      <c r="F1656" s="238"/>
      <c r="G1656" s="240"/>
      <c r="H1656" s="240"/>
      <c r="I1656" s="242"/>
      <c r="J1656" s="278"/>
      <c r="K1656" s="242"/>
      <c r="L1656" s="243"/>
      <c r="M1656" s="244"/>
    </row>
    <row r="1657" spans="2:15" ht="15.75" thickBot="1" x14ac:dyDescent="0.3">
      <c r="B1657" s="1"/>
      <c r="C1657" s="1"/>
      <c r="D1657" s="1"/>
      <c r="E1657" s="1"/>
      <c r="F1657" s="1"/>
      <c r="G1657" s="1"/>
      <c r="H1657" s="1"/>
    </row>
    <row r="1658" spans="2:15" x14ac:dyDescent="0.25">
      <c r="B1658" s="274" t="s">
        <v>408</v>
      </c>
      <c r="C1658" s="275"/>
      <c r="D1658" s="275"/>
      <c r="E1658" s="275"/>
      <c r="F1658" s="275"/>
      <c r="G1658" s="275"/>
      <c r="H1658" s="275"/>
      <c r="I1658" s="275"/>
      <c r="J1658" s="275"/>
      <c r="K1658" s="275"/>
      <c r="L1658" s="275"/>
      <c r="M1658" s="276"/>
    </row>
    <row r="1659" spans="2:15" x14ac:dyDescent="0.25">
      <c r="B1659" s="3" t="s">
        <v>2655</v>
      </c>
      <c r="C1659" s="232" t="s">
        <v>2656</v>
      </c>
      <c r="D1659" s="232"/>
      <c r="E1659" s="268" t="s">
        <v>2657</v>
      </c>
      <c r="F1659" s="268"/>
      <c r="G1659" s="233" t="s">
        <v>2658</v>
      </c>
      <c r="H1659" s="233"/>
      <c r="I1659" s="234" t="s">
        <v>2659</v>
      </c>
      <c r="J1659" s="277"/>
      <c r="K1659" s="232" t="s">
        <v>2660</v>
      </c>
      <c r="L1659" s="232"/>
      <c r="M1659" s="269"/>
    </row>
    <row r="1660" spans="2:15" ht="15.75" thickBot="1" x14ac:dyDescent="0.3">
      <c r="B1660" s="5" t="s">
        <v>2661</v>
      </c>
      <c r="C1660" s="240" t="s">
        <v>2662</v>
      </c>
      <c r="D1660" s="240"/>
      <c r="E1660" s="240" t="s">
        <v>2663</v>
      </c>
      <c r="F1660" s="240"/>
      <c r="G1660" s="240" t="s">
        <v>2664</v>
      </c>
      <c r="H1660" s="240"/>
      <c r="I1660" s="281" t="s">
        <v>2665</v>
      </c>
      <c r="J1660" s="282"/>
      <c r="K1660" s="240" t="s">
        <v>2666</v>
      </c>
      <c r="L1660" s="240"/>
      <c r="M1660" s="267"/>
    </row>
    <row r="1662" spans="2:15" ht="23.25" x14ac:dyDescent="0.35">
      <c r="B1662" s="29" t="s">
        <v>334</v>
      </c>
      <c r="C1662" s="36" t="s">
        <v>206</v>
      </c>
      <c r="D1662" s="36"/>
      <c r="E1662" s="36"/>
      <c r="F1662" s="36"/>
      <c r="G1662" s="36"/>
      <c r="H1662" s="36"/>
      <c r="I1662" s="36"/>
      <c r="J1662" s="36"/>
    </row>
    <row r="1663" spans="2:15" ht="18.75" x14ac:dyDescent="0.3">
      <c r="B1663" s="12" t="s">
        <v>335</v>
      </c>
      <c r="C1663" s="195" t="s">
        <v>336</v>
      </c>
      <c r="D1663" s="228" t="s">
        <v>427</v>
      </c>
      <c r="E1663" s="228"/>
      <c r="F1663" s="1" t="s">
        <v>2258</v>
      </c>
      <c r="L1663" s="12" t="s">
        <v>339</v>
      </c>
      <c r="M1663" s="6" t="s">
        <v>205</v>
      </c>
    </row>
    <row r="1665" spans="2:15" x14ac:dyDescent="0.25">
      <c r="B1665" s="2" t="s">
        <v>341</v>
      </c>
      <c r="C1665" s="250" t="s">
        <v>342</v>
      </c>
      <c r="D1665" s="250"/>
      <c r="E1665" s="250" t="s">
        <v>343</v>
      </c>
      <c r="F1665" s="250"/>
      <c r="G1665" s="250" t="s">
        <v>954</v>
      </c>
      <c r="H1665" s="250"/>
      <c r="I1665" s="228" t="s">
        <v>345</v>
      </c>
      <c r="J1665" s="228"/>
      <c r="K1665" s="228"/>
      <c r="L1665" s="228"/>
      <c r="M1665" s="228"/>
      <c r="O1665" s="101" t="s">
        <v>732</v>
      </c>
    </row>
    <row r="1666" spans="2:15" x14ac:dyDescent="0.25">
      <c r="C1666" s="251"/>
      <c r="D1666" s="251"/>
      <c r="E1666" s="251"/>
      <c r="F1666" s="251"/>
      <c r="G1666" s="251"/>
      <c r="H1666" s="251"/>
      <c r="I1666" s="7"/>
      <c r="J1666" s="7"/>
      <c r="K1666" s="7"/>
      <c r="L1666" s="7"/>
      <c r="M1666" s="7"/>
    </row>
    <row r="1667" spans="2:15" x14ac:dyDescent="0.25">
      <c r="B1667" s="11" t="s">
        <v>2259</v>
      </c>
      <c r="C1667" s="230" t="s">
        <v>545</v>
      </c>
      <c r="D1667" s="230"/>
      <c r="E1667" s="230" t="s">
        <v>984</v>
      </c>
      <c r="F1667" s="230"/>
      <c r="G1667" s="230" t="s">
        <v>985</v>
      </c>
      <c r="H1667" s="230"/>
      <c r="I1667" s="14" t="s">
        <v>2261</v>
      </c>
      <c r="J1667" s="14"/>
      <c r="K1667" s="14"/>
      <c r="L1667" s="14"/>
      <c r="M1667" s="14"/>
      <c r="O1667" s="98">
        <v>0.109</v>
      </c>
    </row>
    <row r="1668" spans="2:15" x14ac:dyDescent="0.25">
      <c r="B1668" s="11"/>
      <c r="C1668" s="185"/>
      <c r="D1668" s="185"/>
      <c r="E1668" s="185"/>
      <c r="F1668" s="185"/>
      <c r="G1668" s="188"/>
      <c r="H1668" s="188"/>
      <c r="I1668" s="14" t="s">
        <v>2266</v>
      </c>
      <c r="J1668" s="14"/>
      <c r="K1668" s="14"/>
      <c r="L1668" s="14"/>
      <c r="M1668" s="14"/>
      <c r="O1668" s="98"/>
    </row>
    <row r="1669" spans="2:15" x14ac:dyDescent="0.25">
      <c r="B1669" s="1" t="s">
        <v>2268</v>
      </c>
      <c r="C1669" s="288" t="s">
        <v>2667</v>
      </c>
      <c r="D1669" s="288"/>
      <c r="E1669" s="288" t="s">
        <v>1977</v>
      </c>
      <c r="F1669" s="288"/>
      <c r="G1669" s="288" t="s">
        <v>2668</v>
      </c>
      <c r="H1669" s="288"/>
      <c r="I1669" s="14" t="s">
        <v>2669</v>
      </c>
      <c r="J1669" s="14"/>
      <c r="K1669" s="14"/>
      <c r="L1669" s="14"/>
      <c r="M1669" s="14"/>
      <c r="O1669" s="98">
        <v>6.2E-2</v>
      </c>
    </row>
    <row r="1670" spans="2:15" x14ac:dyDescent="0.25">
      <c r="B1670" s="1" t="s">
        <v>2270</v>
      </c>
      <c r="C1670" s="288"/>
      <c r="D1670" s="288"/>
      <c r="E1670" s="288"/>
      <c r="F1670" s="288"/>
      <c r="G1670" s="288"/>
      <c r="H1670" s="288"/>
      <c r="I1670" s="14" t="s">
        <v>2670</v>
      </c>
      <c r="J1670" s="14"/>
      <c r="K1670" s="14"/>
      <c r="L1670" s="14"/>
      <c r="M1670" s="14"/>
      <c r="O1670" s="98"/>
    </row>
    <row r="1671" spans="2:15" x14ac:dyDescent="0.25">
      <c r="B1671" s="11" t="s">
        <v>2272</v>
      </c>
      <c r="C1671" s="230" t="s">
        <v>2080</v>
      </c>
      <c r="D1671" s="230"/>
      <c r="E1671" s="230" t="s">
        <v>2613</v>
      </c>
      <c r="F1671" s="230"/>
      <c r="G1671" s="230" t="s">
        <v>1834</v>
      </c>
      <c r="H1671" s="230"/>
      <c r="I1671" s="14" t="s">
        <v>2671</v>
      </c>
      <c r="J1671" s="14"/>
      <c r="K1671" s="14"/>
      <c r="L1671" s="14"/>
      <c r="M1671" s="14"/>
      <c r="O1671" s="98">
        <v>6.7000000000000002E-3</v>
      </c>
    </row>
    <row r="1672" spans="2:15" x14ac:dyDescent="0.25">
      <c r="B1672" s="11"/>
      <c r="C1672" s="185"/>
      <c r="D1672" s="185"/>
      <c r="E1672" s="185"/>
      <c r="F1672" s="185"/>
      <c r="G1672" s="252"/>
      <c r="H1672" s="252"/>
      <c r="I1672" s="14" t="s">
        <v>2672</v>
      </c>
      <c r="O1672" s="98"/>
    </row>
    <row r="1673" spans="2:15" x14ac:dyDescent="0.25">
      <c r="B1673" s="1" t="s">
        <v>2673</v>
      </c>
      <c r="C1673" s="283" t="s">
        <v>2674</v>
      </c>
      <c r="D1673" s="283"/>
      <c r="E1673" s="283" t="s">
        <v>1809</v>
      </c>
      <c r="F1673" s="283"/>
      <c r="G1673" s="283" t="s">
        <v>1307</v>
      </c>
      <c r="H1673" s="283"/>
      <c r="I1673" s="14" t="s">
        <v>2675</v>
      </c>
      <c r="J1673" s="14"/>
      <c r="K1673" s="14"/>
      <c r="L1673" s="14"/>
      <c r="M1673" s="14"/>
      <c r="O1673" s="98">
        <v>2.2749999999999999E-2</v>
      </c>
    </row>
    <row r="1674" spans="2:15" x14ac:dyDescent="0.25">
      <c r="B1674" s="1" t="s">
        <v>2644</v>
      </c>
      <c r="C1674" s="195"/>
      <c r="D1674" s="195"/>
      <c r="E1674" s="195"/>
      <c r="F1674" s="195"/>
      <c r="G1674" s="189"/>
      <c r="H1674" s="189"/>
      <c r="I1674" s="14" t="s">
        <v>2273</v>
      </c>
      <c r="O1674" s="98"/>
    </row>
    <row r="1675" spans="2:15" x14ac:dyDescent="0.25">
      <c r="B1675" s="11" t="s">
        <v>2676</v>
      </c>
      <c r="C1675" s="230" t="s">
        <v>2677</v>
      </c>
      <c r="D1675" s="230"/>
      <c r="E1675" s="230" t="s">
        <v>2678</v>
      </c>
      <c r="F1675" s="230"/>
      <c r="G1675" s="230" t="s">
        <v>2679</v>
      </c>
      <c r="H1675" s="230"/>
      <c r="I1675" s="14" t="s">
        <v>2680</v>
      </c>
      <c r="J1675" s="14"/>
      <c r="K1675" s="14"/>
      <c r="L1675" s="14"/>
      <c r="M1675" s="14"/>
      <c r="O1675" s="98">
        <v>0.04</v>
      </c>
    </row>
    <row r="1676" spans="2:15" x14ac:dyDescent="0.25">
      <c r="B1676" s="11" t="s">
        <v>2681</v>
      </c>
      <c r="C1676" s="185"/>
      <c r="D1676" s="185"/>
      <c r="E1676" s="185"/>
      <c r="F1676" s="185"/>
      <c r="G1676" s="188"/>
      <c r="H1676" s="188"/>
      <c r="I1676" s="14" t="s">
        <v>2682</v>
      </c>
      <c r="O1676" s="98"/>
    </row>
    <row r="1677" spans="2:15" x14ac:dyDescent="0.25">
      <c r="B1677" s="1" t="s">
        <v>2683</v>
      </c>
      <c r="C1677" s="283" t="s">
        <v>2684</v>
      </c>
      <c r="D1677" s="283"/>
      <c r="E1677" s="283" t="s">
        <v>1799</v>
      </c>
      <c r="F1677" s="283"/>
      <c r="G1677" s="283" t="s">
        <v>1834</v>
      </c>
      <c r="H1677" s="283"/>
      <c r="I1677" s="14" t="s">
        <v>2685</v>
      </c>
      <c r="J1677" s="14"/>
      <c r="K1677" s="14"/>
      <c r="L1677" s="14"/>
      <c r="M1677" s="14"/>
      <c r="O1677" s="98">
        <v>1.8599999999999998E-2</v>
      </c>
    </row>
    <row r="1678" spans="2:15" x14ac:dyDescent="0.25">
      <c r="B1678" s="1" t="s">
        <v>1598</v>
      </c>
      <c r="C1678" s="283"/>
      <c r="D1678" s="283"/>
      <c r="E1678" s="283"/>
      <c r="F1678" s="283"/>
      <c r="G1678" s="195"/>
      <c r="H1678" s="195"/>
      <c r="I1678" s="14" t="s">
        <v>2686</v>
      </c>
      <c r="J1678" s="14"/>
      <c r="K1678" s="14"/>
      <c r="L1678" s="14"/>
      <c r="M1678" s="14"/>
      <c r="O1678" s="98"/>
    </row>
    <row r="1679" spans="2:15" x14ac:dyDescent="0.25">
      <c r="B1679" s="11" t="s">
        <v>454</v>
      </c>
      <c r="C1679" s="230" t="s">
        <v>1701</v>
      </c>
      <c r="D1679" s="230"/>
      <c r="E1679" s="230" t="s">
        <v>390</v>
      </c>
      <c r="F1679" s="230"/>
      <c r="G1679" s="230" t="s">
        <v>1326</v>
      </c>
      <c r="H1679" s="230"/>
      <c r="I1679" s="14" t="s">
        <v>2687</v>
      </c>
      <c r="J1679" s="14"/>
      <c r="K1679" s="14"/>
      <c r="L1679" s="14"/>
      <c r="M1679" s="14"/>
      <c r="O1679" s="98">
        <v>7.7600000000000004E-3</v>
      </c>
    </row>
    <row r="1680" spans="2:15" x14ac:dyDescent="0.25">
      <c r="B1680" s="11"/>
      <c r="C1680" s="185"/>
      <c r="D1680" s="185"/>
      <c r="E1680" s="185"/>
      <c r="F1680" s="185"/>
      <c r="G1680" s="185"/>
      <c r="H1680" s="185"/>
      <c r="I1680" s="14" t="s">
        <v>2281</v>
      </c>
      <c r="J1680" s="14"/>
      <c r="K1680" s="14"/>
      <c r="L1680" s="14"/>
      <c r="O1680" s="98"/>
    </row>
    <row r="1681" spans="2:15" x14ac:dyDescent="0.25">
      <c r="B1681" s="1" t="s">
        <v>2108</v>
      </c>
      <c r="C1681" s="283" t="s">
        <v>1701</v>
      </c>
      <c r="D1681" s="283"/>
      <c r="E1681" s="283" t="s">
        <v>390</v>
      </c>
      <c r="F1681" s="283"/>
      <c r="G1681" s="283" t="s">
        <v>1326</v>
      </c>
      <c r="H1681" s="283"/>
      <c r="I1681" s="14" t="s">
        <v>2688</v>
      </c>
      <c r="J1681" s="14"/>
      <c r="K1681" s="14"/>
      <c r="L1681" s="14"/>
      <c r="O1681" s="98">
        <v>1.12E-2</v>
      </c>
    </row>
    <row r="1682" spans="2:15" x14ac:dyDescent="0.25">
      <c r="B1682" s="1"/>
      <c r="C1682" s="195"/>
      <c r="D1682" s="195"/>
      <c r="E1682" s="195"/>
      <c r="F1682" s="195"/>
      <c r="G1682" s="195"/>
      <c r="H1682" s="195"/>
      <c r="I1682" s="14" t="s">
        <v>2689</v>
      </c>
      <c r="J1682" s="14"/>
      <c r="K1682" s="14"/>
      <c r="L1682" s="14"/>
      <c r="M1682" s="14"/>
      <c r="O1682" s="98"/>
    </row>
    <row r="1683" spans="2:15" x14ac:dyDescent="0.25">
      <c r="B1683" s="11" t="s">
        <v>1224</v>
      </c>
      <c r="C1683" s="230" t="s">
        <v>1197</v>
      </c>
      <c r="D1683" s="230"/>
      <c r="E1683" s="230" t="s">
        <v>742</v>
      </c>
      <c r="F1683" s="230"/>
      <c r="G1683" s="230" t="s">
        <v>1027</v>
      </c>
      <c r="H1683" s="230"/>
      <c r="I1683" s="14" t="s">
        <v>2286</v>
      </c>
      <c r="J1683" s="14"/>
      <c r="K1683" s="14"/>
      <c r="L1683" s="14"/>
      <c r="M1683" s="14"/>
      <c r="O1683" s="102">
        <v>3.5000000000000001E-3</v>
      </c>
    </row>
    <row r="1684" spans="2:15" x14ac:dyDescent="0.25">
      <c r="B1684" s="11"/>
      <c r="C1684" s="185"/>
      <c r="D1684" s="185"/>
      <c r="E1684" s="185"/>
      <c r="F1684" s="185"/>
      <c r="G1684" s="185"/>
      <c r="H1684" s="185"/>
      <c r="I1684" s="14" t="s">
        <v>2287</v>
      </c>
      <c r="J1684" s="14"/>
      <c r="K1684" s="14"/>
      <c r="O1684" s="98"/>
    </row>
    <row r="1685" spans="2:15" x14ac:dyDescent="0.25">
      <c r="B1685" s="1" t="s">
        <v>1051</v>
      </c>
      <c r="C1685" s="283" t="s">
        <v>1197</v>
      </c>
      <c r="D1685" s="283"/>
      <c r="E1685" s="283" t="s">
        <v>742</v>
      </c>
      <c r="F1685" s="283"/>
      <c r="G1685" s="283" t="s">
        <v>1027</v>
      </c>
      <c r="H1685" s="283"/>
      <c r="I1685" s="14"/>
      <c r="K1685" s="14"/>
      <c r="O1685" s="98">
        <v>6.4999999999999997E-3</v>
      </c>
    </row>
    <row r="1686" spans="2:15" x14ac:dyDescent="0.25">
      <c r="B1686" s="1"/>
      <c r="C1686" s="1"/>
      <c r="D1686" s="1"/>
      <c r="E1686" s="1"/>
      <c r="F1686" s="1"/>
      <c r="G1686" s="1"/>
      <c r="H1686" s="1"/>
      <c r="I1686" s="14"/>
      <c r="K1686" s="14"/>
      <c r="O1686" s="98"/>
    </row>
    <row r="1687" spans="2:15" x14ac:dyDescent="0.25">
      <c r="B1687" s="11" t="s">
        <v>1656</v>
      </c>
      <c r="C1687" s="230" t="s">
        <v>1977</v>
      </c>
      <c r="D1687" s="230"/>
      <c r="E1687" s="230" t="s">
        <v>1306</v>
      </c>
      <c r="F1687" s="230"/>
      <c r="G1687" s="230" t="s">
        <v>1386</v>
      </c>
      <c r="H1687" s="230"/>
      <c r="I1687" s="14"/>
      <c r="K1687" s="14"/>
      <c r="O1687" s="98">
        <v>8.3000000000000004E-2</v>
      </c>
    </row>
    <row r="1688" spans="2:15" x14ac:dyDescent="0.25">
      <c r="B1688" s="11" t="s">
        <v>869</v>
      </c>
      <c r="C1688" s="11"/>
      <c r="D1688" s="11"/>
      <c r="E1688" s="11"/>
      <c r="F1688" s="11"/>
      <c r="G1688" s="11"/>
      <c r="H1688" s="11"/>
      <c r="I1688" s="14"/>
      <c r="K1688" s="14"/>
      <c r="O1688" s="98"/>
    </row>
    <row r="1689" spans="2:15" x14ac:dyDescent="0.25">
      <c r="B1689" s="1" t="s">
        <v>1854</v>
      </c>
      <c r="C1689" s="283" t="s">
        <v>1977</v>
      </c>
      <c r="D1689" s="283"/>
      <c r="E1689" s="283" t="s">
        <v>1306</v>
      </c>
      <c r="F1689" s="283"/>
      <c r="G1689" s="283" t="s">
        <v>1386</v>
      </c>
      <c r="H1689" s="283"/>
      <c r="I1689" s="14"/>
      <c r="K1689" s="14"/>
      <c r="O1689" s="98">
        <v>8.2299999999999998E-2</v>
      </c>
    </row>
    <row r="1690" spans="2:15" x14ac:dyDescent="0.25">
      <c r="B1690" s="1" t="s">
        <v>869</v>
      </c>
      <c r="C1690" s="195"/>
      <c r="D1690" s="195"/>
      <c r="E1690" s="195"/>
      <c r="F1690" s="195"/>
      <c r="G1690" s="195"/>
      <c r="H1690" s="195"/>
      <c r="I1690" s="14"/>
      <c r="K1690" s="14"/>
      <c r="O1690" s="98"/>
    </row>
    <row r="1691" spans="2:15" x14ac:dyDescent="0.25">
      <c r="B1691" s="11" t="s">
        <v>2288</v>
      </c>
      <c r="C1691" s="230" t="s">
        <v>2690</v>
      </c>
      <c r="D1691" s="230"/>
      <c r="E1691" s="230" t="s">
        <v>2691</v>
      </c>
      <c r="F1691" s="230"/>
      <c r="G1691" s="230" t="s">
        <v>2692</v>
      </c>
      <c r="H1691" s="230"/>
      <c r="I1691" s="14"/>
      <c r="K1691" s="14"/>
      <c r="O1691" s="98">
        <v>0.02</v>
      </c>
    </row>
    <row r="1692" spans="2:15" x14ac:dyDescent="0.25">
      <c r="B1692" s="11"/>
      <c r="C1692" s="11"/>
      <c r="D1692" s="11"/>
      <c r="E1692" s="11"/>
      <c r="F1692" s="11"/>
      <c r="G1692" s="11"/>
      <c r="H1692" s="11"/>
      <c r="I1692" s="14"/>
      <c r="J1692" s="14"/>
      <c r="K1692" s="14"/>
      <c r="O1692" s="98"/>
    </row>
    <row r="1693" spans="2:15" x14ac:dyDescent="0.25">
      <c r="B1693" s="1" t="s">
        <v>2292</v>
      </c>
      <c r="C1693" s="283" t="s">
        <v>2693</v>
      </c>
      <c r="D1693" s="283"/>
      <c r="E1693" s="283" t="s">
        <v>2694</v>
      </c>
      <c r="F1693" s="283"/>
      <c r="G1693" s="283" t="s">
        <v>2695</v>
      </c>
      <c r="H1693" s="283"/>
      <c r="I1693" s="14"/>
      <c r="J1693" s="14"/>
      <c r="K1693" s="14"/>
      <c r="O1693" s="98">
        <v>0.15</v>
      </c>
    </row>
    <row r="1694" spans="2:15" x14ac:dyDescent="0.25">
      <c r="B1694" s="1"/>
      <c r="C1694" s="1"/>
      <c r="D1694" s="1"/>
      <c r="E1694" s="1"/>
      <c r="F1694" s="1"/>
      <c r="G1694" s="1"/>
      <c r="H1694" s="1"/>
      <c r="I1694" s="15"/>
      <c r="J1694" s="14"/>
      <c r="K1694" s="14"/>
      <c r="O1694" s="98"/>
    </row>
    <row r="1695" spans="2:15" x14ac:dyDescent="0.25">
      <c r="B1695" s="11" t="s">
        <v>518</v>
      </c>
      <c r="C1695" s="230" t="s">
        <v>1654</v>
      </c>
      <c r="D1695" s="230"/>
      <c r="E1695" s="230" t="s">
        <v>1654</v>
      </c>
      <c r="F1695" s="230"/>
      <c r="G1695" s="230" t="s">
        <v>1654</v>
      </c>
      <c r="H1695" s="230"/>
      <c r="I1695" s="14"/>
      <c r="K1695" s="14"/>
      <c r="O1695" s="105">
        <v>1E-3</v>
      </c>
    </row>
    <row r="1696" spans="2:15" ht="15.75" thickBot="1" x14ac:dyDescent="0.3">
      <c r="B1696" s="11"/>
      <c r="C1696" s="11"/>
      <c r="D1696" s="11"/>
      <c r="E1696" s="11"/>
      <c r="F1696" s="11"/>
      <c r="G1696" s="11"/>
      <c r="H1696" s="11"/>
      <c r="I1696" s="14"/>
      <c r="K1696" s="14"/>
      <c r="O1696" s="98"/>
    </row>
    <row r="1697" spans="2:15" x14ac:dyDescent="0.25">
      <c r="B1697" s="274" t="s">
        <v>401</v>
      </c>
      <c r="C1697" s="275"/>
      <c r="D1697" s="275"/>
      <c r="E1697" s="275"/>
      <c r="F1697" s="275"/>
      <c r="G1697" s="275"/>
      <c r="H1697" s="275"/>
      <c r="I1697" s="275"/>
      <c r="J1697" s="275"/>
      <c r="K1697" s="275"/>
      <c r="L1697" s="275"/>
      <c r="M1697" s="276"/>
      <c r="O1697" s="100">
        <f>SUM(O1667:O1695)</f>
        <v>0.62431000000000003</v>
      </c>
    </row>
    <row r="1698" spans="2:15" x14ac:dyDescent="0.25">
      <c r="B1698" s="3" t="s">
        <v>402</v>
      </c>
      <c r="C1698" s="232" t="s">
        <v>403</v>
      </c>
      <c r="D1698" s="232"/>
      <c r="E1698" s="233" t="s">
        <v>404</v>
      </c>
      <c r="F1698" s="233"/>
      <c r="G1698" s="232" t="s">
        <v>405</v>
      </c>
      <c r="H1698" s="232"/>
      <c r="I1698" s="234" t="s">
        <v>406</v>
      </c>
      <c r="J1698" s="277"/>
      <c r="K1698" s="234" t="s">
        <v>407</v>
      </c>
      <c r="L1698" s="235"/>
      <c r="M1698" s="236"/>
      <c r="O1698" s="98"/>
    </row>
    <row r="1699" spans="2:15" ht="15.75" thickBot="1" x14ac:dyDescent="0.3">
      <c r="B1699" s="5">
        <v>1.4</v>
      </c>
      <c r="C1699" s="237">
        <v>1.6</v>
      </c>
      <c r="D1699" s="238"/>
      <c r="E1699" s="239">
        <v>0.03</v>
      </c>
      <c r="F1699" s="238"/>
      <c r="G1699" s="240"/>
      <c r="H1699" s="240"/>
      <c r="I1699" s="242">
        <v>0.1134</v>
      </c>
      <c r="J1699" s="278"/>
      <c r="K1699" s="242">
        <v>0.45</v>
      </c>
      <c r="L1699" s="243"/>
      <c r="M1699" s="244"/>
      <c r="O1699" s="98"/>
    </row>
    <row r="1700" spans="2:15" x14ac:dyDescent="0.25">
      <c r="B1700" s="1"/>
      <c r="C1700" s="1"/>
      <c r="D1700" s="1"/>
      <c r="E1700" s="1"/>
      <c r="F1700" s="1"/>
      <c r="G1700" s="1"/>
      <c r="H1700" s="1"/>
      <c r="O1700" s="98"/>
    </row>
    <row r="1701" spans="2:15" x14ac:dyDescent="0.25">
      <c r="B1701" s="217" t="s">
        <v>408</v>
      </c>
      <c r="C1701" s="218"/>
      <c r="D1701" s="218"/>
      <c r="E1701" s="218"/>
      <c r="F1701" s="218"/>
      <c r="G1701" s="218"/>
      <c r="H1701" s="218"/>
      <c r="I1701" s="218"/>
      <c r="J1701" s="218"/>
      <c r="K1701" s="218"/>
      <c r="L1701" s="218"/>
      <c r="M1701" s="219"/>
      <c r="O1701" s="98"/>
    </row>
    <row r="1702" spans="2:15" x14ac:dyDescent="0.25">
      <c r="B1702" s="122" t="s">
        <v>2696</v>
      </c>
      <c r="C1702" s="220" t="s">
        <v>2697</v>
      </c>
      <c r="D1702" s="220"/>
      <c r="E1702" s="221" t="s">
        <v>2698</v>
      </c>
      <c r="F1702" s="221"/>
      <c r="G1702" s="221" t="s">
        <v>2699</v>
      </c>
      <c r="H1702" s="221"/>
      <c r="I1702" s="220" t="s">
        <v>2700</v>
      </c>
      <c r="J1702" s="220"/>
      <c r="K1702" s="220" t="s">
        <v>621</v>
      </c>
      <c r="L1702" s="220"/>
      <c r="M1702" s="222"/>
      <c r="O1702" s="98"/>
    </row>
    <row r="1703" spans="2:15" x14ac:dyDescent="0.25">
      <c r="B1703" s="123" t="s">
        <v>2045</v>
      </c>
      <c r="C1703" s="225" t="s">
        <v>714</v>
      </c>
      <c r="D1703" s="226"/>
      <c r="E1703" s="227" t="s">
        <v>2701</v>
      </c>
      <c r="F1703" s="227"/>
      <c r="G1703" s="223" t="s">
        <v>1480</v>
      </c>
      <c r="H1703" s="223"/>
      <c r="I1703" s="227" t="s">
        <v>798</v>
      </c>
      <c r="J1703" s="227"/>
      <c r="K1703" s="223" t="s">
        <v>2702</v>
      </c>
      <c r="L1703" s="223"/>
      <c r="M1703" s="224"/>
      <c r="O1703" s="98"/>
    </row>
    <row r="1704" spans="2:15" x14ac:dyDescent="0.25">
      <c r="B1704" s="123" t="s">
        <v>2199</v>
      </c>
      <c r="C1704" s="225" t="s">
        <v>906</v>
      </c>
      <c r="D1704" s="226"/>
      <c r="E1704" s="227" t="s">
        <v>2703</v>
      </c>
      <c r="F1704" s="227"/>
      <c r="G1704" s="223" t="s">
        <v>2704</v>
      </c>
      <c r="H1704" s="223"/>
      <c r="I1704" s="223" t="s">
        <v>2705</v>
      </c>
      <c r="J1704" s="223"/>
      <c r="K1704" s="223" t="s">
        <v>2706</v>
      </c>
      <c r="L1704" s="223"/>
      <c r="M1704" s="224"/>
      <c r="O1704" s="98"/>
    </row>
    <row r="1706" spans="2:15" ht="23.25" x14ac:dyDescent="0.35">
      <c r="B1706" s="29" t="s">
        <v>334</v>
      </c>
      <c r="C1706" s="36" t="s">
        <v>204</v>
      </c>
      <c r="D1706" s="36"/>
      <c r="E1706" s="36"/>
      <c r="F1706" s="36"/>
      <c r="G1706" s="36"/>
      <c r="H1706" s="36"/>
      <c r="I1706" s="36"/>
      <c r="J1706" s="36"/>
    </row>
    <row r="1707" spans="2:15" ht="18.75" x14ac:dyDescent="0.3">
      <c r="B1707" s="12" t="s">
        <v>335</v>
      </c>
      <c r="C1707" s="195" t="s">
        <v>336</v>
      </c>
      <c r="D1707" s="228" t="s">
        <v>427</v>
      </c>
      <c r="E1707" s="228"/>
      <c r="F1707" s="1" t="s">
        <v>2411</v>
      </c>
      <c r="L1707" s="12" t="s">
        <v>339</v>
      </c>
      <c r="M1707" s="6" t="s">
        <v>203</v>
      </c>
    </row>
    <row r="1709" spans="2:15" x14ac:dyDescent="0.25">
      <c r="B1709" s="2" t="s">
        <v>341</v>
      </c>
      <c r="C1709" s="250" t="s">
        <v>429</v>
      </c>
      <c r="D1709" s="250"/>
      <c r="E1709" s="250" t="s">
        <v>430</v>
      </c>
      <c r="F1709" s="250"/>
      <c r="G1709" s="250" t="s">
        <v>805</v>
      </c>
      <c r="H1709" s="250"/>
      <c r="I1709" s="228" t="s">
        <v>345</v>
      </c>
      <c r="J1709" s="228"/>
      <c r="K1709" s="228"/>
      <c r="L1709" s="228"/>
      <c r="M1709" s="228"/>
      <c r="O1709" s="101" t="s">
        <v>732</v>
      </c>
    </row>
    <row r="1710" spans="2:15" x14ac:dyDescent="0.25">
      <c r="C1710" s="251"/>
      <c r="D1710" s="251"/>
      <c r="E1710" s="251"/>
      <c r="F1710" s="251"/>
      <c r="G1710" s="251"/>
      <c r="H1710" s="251"/>
      <c r="I1710" s="7"/>
      <c r="J1710" s="7"/>
      <c r="K1710" s="7"/>
      <c r="L1710" s="7"/>
      <c r="M1710" s="7"/>
    </row>
    <row r="1711" spans="2:15" x14ac:dyDescent="0.25">
      <c r="B1711" s="11" t="s">
        <v>2707</v>
      </c>
      <c r="C1711" s="230" t="s">
        <v>2708</v>
      </c>
      <c r="D1711" s="230"/>
      <c r="E1711" s="230" t="s">
        <v>496</v>
      </c>
      <c r="F1711" s="230"/>
      <c r="G1711" s="230" t="s">
        <v>757</v>
      </c>
      <c r="H1711" s="230"/>
      <c r="I1711" s="14" t="s">
        <v>2709</v>
      </c>
      <c r="J1711" s="14"/>
      <c r="K1711" s="14"/>
      <c r="L1711" s="7"/>
      <c r="M1711" s="7"/>
      <c r="O1711" s="98">
        <v>4.48E-2</v>
      </c>
    </row>
    <row r="1712" spans="2:15" x14ac:dyDescent="0.25">
      <c r="B1712" s="11" t="s">
        <v>2710</v>
      </c>
      <c r="C1712" s="185"/>
      <c r="D1712" s="185"/>
      <c r="E1712" s="185"/>
      <c r="F1712" s="185"/>
      <c r="G1712" s="185"/>
      <c r="H1712" s="185"/>
      <c r="I1712" s="14" t="s">
        <v>2711</v>
      </c>
      <c r="J1712" s="14"/>
      <c r="L1712" s="7"/>
      <c r="M1712" s="7"/>
      <c r="O1712" s="98"/>
    </row>
    <row r="1713" spans="2:15" x14ac:dyDescent="0.25">
      <c r="B1713" s="1" t="s">
        <v>2712</v>
      </c>
      <c r="C1713" s="283" t="s">
        <v>2708</v>
      </c>
      <c r="D1713" s="283"/>
      <c r="E1713" s="283" t="s">
        <v>496</v>
      </c>
      <c r="F1713" s="283"/>
      <c r="G1713" s="283" t="s">
        <v>757</v>
      </c>
      <c r="H1713" s="283"/>
      <c r="I1713" s="14" t="s">
        <v>2713</v>
      </c>
      <c r="J1713" s="14"/>
      <c r="K1713" s="14"/>
      <c r="L1713" s="7"/>
      <c r="M1713" s="7"/>
      <c r="O1713" s="98">
        <v>7.0000000000000007E-2</v>
      </c>
    </row>
    <row r="1714" spans="2:15" x14ac:dyDescent="0.25">
      <c r="B1714" s="1" t="s">
        <v>2710</v>
      </c>
      <c r="C1714" s="283"/>
      <c r="D1714" s="283"/>
      <c r="E1714" s="283"/>
      <c r="F1714" s="283"/>
      <c r="G1714" s="283"/>
      <c r="H1714" s="283"/>
      <c r="I1714" s="14" t="s">
        <v>2714</v>
      </c>
      <c r="J1714" s="14"/>
      <c r="K1714" s="14"/>
      <c r="L1714" s="7"/>
      <c r="M1714" s="7"/>
      <c r="O1714" s="98"/>
    </row>
    <row r="1715" spans="2:15" x14ac:dyDescent="0.25">
      <c r="B1715" s="11" t="s">
        <v>2715</v>
      </c>
      <c r="C1715" s="230" t="s">
        <v>2708</v>
      </c>
      <c r="D1715" s="230"/>
      <c r="E1715" s="230" t="s">
        <v>496</v>
      </c>
      <c r="F1715" s="230"/>
      <c r="G1715" s="230" t="s">
        <v>757</v>
      </c>
      <c r="H1715" s="230"/>
      <c r="I1715" s="14" t="s">
        <v>2716</v>
      </c>
      <c r="J1715" s="14"/>
      <c r="L1715" s="7"/>
      <c r="M1715" s="7"/>
      <c r="O1715" s="98">
        <v>8.8000000000000005E-3</v>
      </c>
    </row>
    <row r="1716" spans="2:15" x14ac:dyDescent="0.25">
      <c r="B1716" s="11" t="s">
        <v>1598</v>
      </c>
      <c r="C1716" s="230"/>
      <c r="D1716" s="230"/>
      <c r="E1716" s="230"/>
      <c r="F1716" s="230"/>
      <c r="G1716" s="230"/>
      <c r="H1716" s="230"/>
      <c r="I1716" s="14"/>
      <c r="J1716" s="14"/>
      <c r="K1716" s="14"/>
      <c r="L1716" s="7"/>
      <c r="M1716" s="7"/>
      <c r="O1716" s="98"/>
    </row>
    <row r="1717" spans="2:15" x14ac:dyDescent="0.25">
      <c r="B1717" s="1" t="s">
        <v>2292</v>
      </c>
      <c r="C1717" s="283" t="s">
        <v>392</v>
      </c>
      <c r="D1717" s="283"/>
      <c r="E1717" s="283" t="s">
        <v>789</v>
      </c>
      <c r="F1717" s="283"/>
      <c r="G1717" s="283" t="s">
        <v>1497</v>
      </c>
      <c r="H1717" s="283"/>
      <c r="I1717" s="14"/>
      <c r="J1717" s="14"/>
      <c r="K1717" s="14"/>
      <c r="L1717" s="7"/>
      <c r="M1717" s="7"/>
      <c r="O1717" s="98">
        <v>1.6E-2</v>
      </c>
    </row>
    <row r="1718" spans="2:15" x14ac:dyDescent="0.25">
      <c r="B1718" s="1"/>
      <c r="C1718" s="195"/>
      <c r="D1718" s="195"/>
      <c r="E1718" s="195"/>
      <c r="F1718" s="195"/>
      <c r="G1718" s="195"/>
      <c r="H1718" s="195"/>
      <c r="I1718" s="14"/>
      <c r="J1718" s="14"/>
      <c r="K1718" s="14"/>
      <c r="L1718" s="7"/>
      <c r="M1718" s="7"/>
      <c r="O1718" s="98"/>
    </row>
    <row r="1719" spans="2:15" x14ac:dyDescent="0.25">
      <c r="B1719" s="11" t="s">
        <v>2717</v>
      </c>
      <c r="C1719" s="230" t="s">
        <v>1497</v>
      </c>
      <c r="D1719" s="230"/>
      <c r="E1719" s="230" t="s">
        <v>368</v>
      </c>
      <c r="F1719" s="230"/>
      <c r="G1719" s="230" t="s">
        <v>2718</v>
      </c>
      <c r="H1719" s="230"/>
      <c r="I1719" s="14"/>
      <c r="J1719" s="14"/>
      <c r="L1719" s="7"/>
      <c r="M1719" s="7"/>
      <c r="O1719" s="98">
        <v>7.9000000000000001E-2</v>
      </c>
    </row>
    <row r="1720" spans="2:15" x14ac:dyDescent="0.25">
      <c r="B1720" s="11"/>
      <c r="C1720" s="185"/>
      <c r="D1720" s="185"/>
      <c r="E1720" s="185"/>
      <c r="F1720" s="185"/>
      <c r="G1720" s="185"/>
      <c r="H1720" s="185"/>
      <c r="I1720" s="14"/>
      <c r="J1720" s="14"/>
      <c r="L1720" s="7"/>
      <c r="M1720" s="7"/>
      <c r="O1720" s="98"/>
    </row>
    <row r="1721" spans="2:15" x14ac:dyDescent="0.25">
      <c r="B1721" s="1" t="s">
        <v>518</v>
      </c>
      <c r="C1721" s="283" t="s">
        <v>513</v>
      </c>
      <c r="D1721" s="283"/>
      <c r="E1721" s="283" t="s">
        <v>517</v>
      </c>
      <c r="F1721" s="283"/>
      <c r="G1721" s="283" t="s">
        <v>514</v>
      </c>
      <c r="H1721" s="283"/>
      <c r="I1721" s="14"/>
      <c r="J1721" s="14"/>
      <c r="K1721" s="14"/>
      <c r="L1721" s="7"/>
      <c r="M1721" s="7"/>
      <c r="O1721" s="103">
        <v>2.5999999999999998E-4</v>
      </c>
    </row>
    <row r="1722" spans="2:15" x14ac:dyDescent="0.25">
      <c r="B1722" s="1"/>
      <c r="C1722" s="195"/>
      <c r="D1722" s="195"/>
      <c r="E1722" s="195"/>
      <c r="F1722" s="195"/>
      <c r="G1722" s="195"/>
      <c r="H1722" s="195"/>
      <c r="I1722" s="14"/>
      <c r="J1722" s="14"/>
      <c r="K1722" s="14"/>
      <c r="L1722" s="7"/>
      <c r="M1722" s="7"/>
      <c r="O1722" s="98"/>
    </row>
    <row r="1723" spans="2:15" x14ac:dyDescent="0.25">
      <c r="B1723" s="11" t="s">
        <v>879</v>
      </c>
      <c r="C1723" s="317" t="s">
        <v>513</v>
      </c>
      <c r="D1723" s="317"/>
      <c r="E1723" s="317" t="s">
        <v>517</v>
      </c>
      <c r="F1723" s="317"/>
      <c r="G1723" s="317" t="s">
        <v>514</v>
      </c>
      <c r="H1723" s="317"/>
      <c r="I1723" s="14"/>
      <c r="J1723" s="14"/>
      <c r="K1723" s="14"/>
      <c r="L1723" s="7"/>
      <c r="M1723" s="7"/>
      <c r="O1723" s="98">
        <v>8.9999999999999993E-3</v>
      </c>
    </row>
    <row r="1724" spans="2:15" x14ac:dyDescent="0.25">
      <c r="B1724" s="11"/>
      <c r="C1724" s="185"/>
      <c r="D1724" s="185"/>
      <c r="E1724" s="185"/>
      <c r="F1724" s="185"/>
      <c r="G1724" s="185"/>
      <c r="H1724" s="185"/>
      <c r="I1724" s="14"/>
      <c r="J1724" s="14"/>
      <c r="K1724" s="14"/>
      <c r="O1724" s="98"/>
    </row>
    <row r="1725" spans="2:15" x14ac:dyDescent="0.25">
      <c r="B1725" s="1" t="s">
        <v>1470</v>
      </c>
      <c r="C1725" s="283" t="s">
        <v>513</v>
      </c>
      <c r="D1725" s="283"/>
      <c r="E1725" s="283" t="s">
        <v>517</v>
      </c>
      <c r="F1725" s="283"/>
      <c r="G1725" s="283" t="s">
        <v>514</v>
      </c>
      <c r="H1725" s="283"/>
      <c r="I1725" s="14"/>
      <c r="J1725" s="14"/>
      <c r="K1725" s="14"/>
      <c r="O1725" s="102">
        <v>1.6000000000000001E-3</v>
      </c>
    </row>
    <row r="1726" spans="2:15" x14ac:dyDescent="0.25">
      <c r="B1726" s="1"/>
      <c r="C1726" s="283"/>
      <c r="D1726" s="283"/>
      <c r="E1726" s="283"/>
      <c r="F1726" s="283"/>
      <c r="G1726" s="283"/>
      <c r="H1726" s="283"/>
      <c r="I1726" s="14"/>
      <c r="J1726" s="14"/>
      <c r="K1726" s="14"/>
      <c r="O1726" s="98"/>
    </row>
    <row r="1727" spans="2:15" x14ac:dyDescent="0.25">
      <c r="B1727" s="11" t="s">
        <v>2719</v>
      </c>
      <c r="C1727" s="230" t="s">
        <v>791</v>
      </c>
      <c r="D1727" s="230"/>
      <c r="E1727" s="230" t="s">
        <v>1214</v>
      </c>
      <c r="F1727" s="230"/>
      <c r="G1727" s="230" t="s">
        <v>2720</v>
      </c>
      <c r="H1727" s="230"/>
      <c r="I1727" s="14"/>
      <c r="J1727" s="14"/>
      <c r="K1727" s="14"/>
      <c r="O1727" s="98">
        <v>0.31</v>
      </c>
    </row>
    <row r="1728" spans="2:15" x14ac:dyDescent="0.25">
      <c r="B1728" s="11" t="s">
        <v>2721</v>
      </c>
      <c r="C1728" s="185"/>
      <c r="D1728" s="185"/>
      <c r="E1728" s="185"/>
      <c r="F1728" s="185"/>
      <c r="G1728" s="185"/>
      <c r="H1728" s="185"/>
      <c r="I1728" s="14"/>
      <c r="J1728" s="14"/>
      <c r="K1728" s="14"/>
      <c r="O1728" s="98"/>
    </row>
    <row r="1729" spans="2:15" x14ac:dyDescent="0.25">
      <c r="B1729" s="1" t="s">
        <v>2457</v>
      </c>
      <c r="C1729" s="283" t="s">
        <v>2722</v>
      </c>
      <c r="D1729" s="283"/>
      <c r="E1729" s="283" t="s">
        <v>2723</v>
      </c>
      <c r="F1729" s="283"/>
      <c r="G1729" s="283" t="s">
        <v>2724</v>
      </c>
      <c r="H1729" s="283"/>
      <c r="I1729" s="14"/>
      <c r="J1729" s="14"/>
      <c r="O1729" s="98">
        <v>0.17699999999999999</v>
      </c>
    </row>
    <row r="1730" spans="2:15" x14ac:dyDescent="0.25">
      <c r="B1730" s="1" t="s">
        <v>2461</v>
      </c>
      <c r="C1730" s="195"/>
      <c r="D1730" s="195"/>
      <c r="E1730" s="195"/>
      <c r="F1730" s="195"/>
      <c r="G1730" s="195"/>
      <c r="H1730" s="195"/>
      <c r="I1730" s="14"/>
      <c r="J1730" s="14"/>
      <c r="O1730" s="98"/>
    </row>
    <row r="1731" spans="2:15" x14ac:dyDescent="0.25">
      <c r="B1731" s="11" t="s">
        <v>2725</v>
      </c>
      <c r="C1731" s="230" t="s">
        <v>789</v>
      </c>
      <c r="D1731" s="230"/>
      <c r="E1731" s="230" t="s">
        <v>1497</v>
      </c>
      <c r="F1731" s="230"/>
      <c r="G1731" s="230" t="s">
        <v>368</v>
      </c>
      <c r="H1731" s="230"/>
      <c r="I1731" s="14"/>
      <c r="J1731" s="14"/>
      <c r="K1731" s="14"/>
      <c r="O1731" s="99">
        <v>0.08</v>
      </c>
    </row>
    <row r="1732" spans="2:15" ht="15.75" thickBot="1" x14ac:dyDescent="0.3">
      <c r="B1732" s="11" t="s">
        <v>2721</v>
      </c>
      <c r="C1732" s="185"/>
      <c r="D1732" s="185"/>
      <c r="E1732" s="185"/>
      <c r="F1732" s="185"/>
      <c r="G1732" s="185"/>
      <c r="H1732" s="185"/>
      <c r="I1732" s="14"/>
      <c r="J1732" s="14"/>
      <c r="K1732" s="14"/>
      <c r="O1732" s="98"/>
    </row>
    <row r="1733" spans="2:15" x14ac:dyDescent="0.25">
      <c r="B1733" s="274" t="s">
        <v>401</v>
      </c>
      <c r="C1733" s="275"/>
      <c r="D1733" s="275"/>
      <c r="E1733" s="275"/>
      <c r="F1733" s="275"/>
      <c r="G1733" s="275"/>
      <c r="H1733" s="275"/>
      <c r="I1733" s="275"/>
      <c r="J1733" s="275"/>
      <c r="K1733" s="275"/>
      <c r="L1733" s="275"/>
      <c r="M1733" s="276"/>
      <c r="O1733" s="100">
        <f>SUM(O1711:O1731)</f>
        <v>0.79646000000000006</v>
      </c>
    </row>
    <row r="1734" spans="2:15" x14ac:dyDescent="0.25">
      <c r="B1734" s="3" t="s">
        <v>402</v>
      </c>
      <c r="C1734" s="232" t="s">
        <v>403</v>
      </c>
      <c r="D1734" s="232"/>
      <c r="E1734" s="233" t="s">
        <v>404</v>
      </c>
      <c r="F1734" s="233"/>
      <c r="G1734" s="232" t="s">
        <v>405</v>
      </c>
      <c r="H1734" s="232"/>
      <c r="I1734" s="314" t="s">
        <v>1241</v>
      </c>
      <c r="J1734" s="315"/>
      <c r="K1734" s="234" t="s">
        <v>407</v>
      </c>
      <c r="L1734" s="235"/>
      <c r="M1734" s="236"/>
    </row>
    <row r="1735" spans="2:15" ht="15.75" thickBot="1" x14ac:dyDescent="0.3">
      <c r="B1735" s="5">
        <v>0.32</v>
      </c>
      <c r="C1735" s="237">
        <v>2.5470000000000002</v>
      </c>
      <c r="D1735" s="238"/>
      <c r="E1735" s="239">
        <v>0.25</v>
      </c>
      <c r="F1735" s="238"/>
      <c r="G1735" s="240"/>
      <c r="H1735" s="240"/>
      <c r="I1735" s="242">
        <v>3.7999999999999999E-2</v>
      </c>
      <c r="J1735" s="278"/>
      <c r="K1735" s="242">
        <v>0.13900000000000001</v>
      </c>
      <c r="L1735" s="243"/>
      <c r="M1735" s="244"/>
    </row>
    <row r="1736" spans="2:15" x14ac:dyDescent="0.25">
      <c r="B1736" s="1"/>
      <c r="C1736" s="1"/>
      <c r="D1736" s="1"/>
      <c r="E1736" s="1"/>
      <c r="F1736" s="1"/>
      <c r="G1736" s="1"/>
      <c r="H1736" s="1"/>
    </row>
    <row r="1737" spans="2:15" x14ac:dyDescent="0.25">
      <c r="B1737" s="217" t="s">
        <v>408</v>
      </c>
      <c r="C1737" s="218"/>
      <c r="D1737" s="218"/>
      <c r="E1737" s="218"/>
      <c r="F1737" s="218"/>
      <c r="G1737" s="218"/>
      <c r="H1737" s="218"/>
      <c r="I1737" s="218"/>
      <c r="J1737" s="218"/>
      <c r="K1737" s="218"/>
      <c r="L1737" s="218"/>
      <c r="M1737" s="219"/>
    </row>
    <row r="1738" spans="2:15" x14ac:dyDescent="0.25">
      <c r="B1738" s="122" t="s">
        <v>2726</v>
      </c>
      <c r="C1738" s="220" t="s">
        <v>2727</v>
      </c>
      <c r="D1738" s="220"/>
      <c r="E1738" s="221" t="s">
        <v>2728</v>
      </c>
      <c r="F1738" s="221"/>
      <c r="G1738" s="221" t="s">
        <v>2729</v>
      </c>
      <c r="H1738" s="221"/>
      <c r="I1738" s="220" t="s">
        <v>2730</v>
      </c>
      <c r="J1738" s="220"/>
      <c r="K1738" s="220" t="s">
        <v>2731</v>
      </c>
      <c r="L1738" s="220"/>
      <c r="M1738" s="222"/>
    </row>
    <row r="1739" spans="2:15" x14ac:dyDescent="0.25">
      <c r="B1739" s="124" t="s">
        <v>2732</v>
      </c>
      <c r="C1739" s="245" t="s">
        <v>476</v>
      </c>
      <c r="D1739" s="246"/>
      <c r="E1739" s="248" t="s">
        <v>2733</v>
      </c>
      <c r="F1739" s="248"/>
      <c r="G1739" s="247" t="s">
        <v>2734</v>
      </c>
      <c r="H1739" s="247"/>
      <c r="I1739" s="248" t="s">
        <v>2735</v>
      </c>
      <c r="J1739" s="248"/>
      <c r="K1739" s="247" t="s">
        <v>2736</v>
      </c>
      <c r="L1739" s="247"/>
      <c r="M1739" s="249"/>
    </row>
    <row r="1740" spans="2:15" x14ac:dyDescent="0.25">
      <c r="B1740" s="168" t="s">
        <v>2737</v>
      </c>
      <c r="C1740" s="257" t="s">
        <v>422</v>
      </c>
      <c r="D1740" s="258"/>
      <c r="E1740" s="259" t="s">
        <v>2738</v>
      </c>
      <c r="F1740" s="259"/>
      <c r="G1740" s="260" t="s">
        <v>2739</v>
      </c>
      <c r="H1740" s="260"/>
      <c r="I1740" s="260" t="s">
        <v>2740</v>
      </c>
      <c r="J1740" s="260"/>
      <c r="K1740" s="260" t="s">
        <v>575</v>
      </c>
      <c r="L1740" s="260"/>
      <c r="M1740" s="261"/>
    </row>
    <row r="1742" spans="2:15" ht="23.25" x14ac:dyDescent="0.35">
      <c r="B1742" s="29" t="s">
        <v>334</v>
      </c>
      <c r="C1742" s="36" t="s">
        <v>180</v>
      </c>
      <c r="D1742" s="36"/>
      <c r="E1742" s="36"/>
      <c r="F1742" s="36"/>
      <c r="G1742" s="36"/>
      <c r="H1742" s="36"/>
      <c r="I1742" s="36"/>
      <c r="J1742" s="36"/>
    </row>
    <row r="1743" spans="2:15" ht="18.75" x14ac:dyDescent="0.3">
      <c r="B1743" s="12" t="s">
        <v>335</v>
      </c>
      <c r="C1743" s="195" t="s">
        <v>336</v>
      </c>
      <c r="D1743" s="228" t="s">
        <v>427</v>
      </c>
      <c r="E1743" s="228"/>
      <c r="F1743" s="1" t="s">
        <v>2741</v>
      </c>
      <c r="L1743" s="12" t="s">
        <v>339</v>
      </c>
      <c r="M1743" s="6" t="s">
        <v>179</v>
      </c>
    </row>
    <row r="1745" spans="2:13" x14ac:dyDescent="0.25">
      <c r="B1745" s="2" t="s">
        <v>341</v>
      </c>
      <c r="C1745" s="250" t="s">
        <v>342</v>
      </c>
      <c r="D1745" s="250"/>
      <c r="E1745" s="250" t="s">
        <v>343</v>
      </c>
      <c r="F1745" s="250"/>
      <c r="G1745" s="250" t="s">
        <v>954</v>
      </c>
      <c r="H1745" s="250"/>
      <c r="I1745" s="228" t="s">
        <v>345</v>
      </c>
      <c r="J1745" s="228"/>
      <c r="K1745" s="228"/>
      <c r="L1745" s="228"/>
      <c r="M1745" s="228"/>
    </row>
    <row r="1746" spans="2:13" x14ac:dyDescent="0.25">
      <c r="C1746" s="251"/>
      <c r="D1746" s="251"/>
      <c r="E1746" s="251"/>
      <c r="F1746" s="251"/>
      <c r="G1746" s="251"/>
      <c r="H1746" s="251"/>
      <c r="I1746" s="7"/>
      <c r="J1746" s="7"/>
      <c r="K1746" s="7"/>
      <c r="L1746" s="7"/>
      <c r="M1746" s="7"/>
    </row>
    <row r="1747" spans="2:13" x14ac:dyDescent="0.25">
      <c r="B1747" s="11" t="s">
        <v>2742</v>
      </c>
      <c r="C1747" s="230" t="s">
        <v>545</v>
      </c>
      <c r="D1747" s="230"/>
      <c r="E1747" s="230" t="s">
        <v>984</v>
      </c>
      <c r="F1747" s="230"/>
      <c r="G1747" s="230" t="s">
        <v>985</v>
      </c>
      <c r="H1747" s="230"/>
      <c r="I1747" s="14" t="s">
        <v>2743</v>
      </c>
      <c r="J1747" s="14"/>
      <c r="K1747" s="14"/>
      <c r="L1747" s="7"/>
      <c r="M1747" s="7"/>
    </row>
    <row r="1748" spans="2:13" x14ac:dyDescent="0.25">
      <c r="B1748" s="11"/>
      <c r="C1748" s="185"/>
      <c r="D1748" s="185"/>
      <c r="E1748" s="185"/>
      <c r="F1748" s="185"/>
      <c r="G1748" s="185"/>
      <c r="H1748" s="185"/>
      <c r="I1748" s="14" t="s">
        <v>2744</v>
      </c>
      <c r="J1748" s="14"/>
      <c r="L1748" s="7"/>
      <c r="M1748" s="7"/>
    </row>
    <row r="1749" spans="2:13" x14ac:dyDescent="0.25">
      <c r="B1749" s="1" t="s">
        <v>2745</v>
      </c>
      <c r="C1749" s="283" t="s">
        <v>2746</v>
      </c>
      <c r="D1749" s="283"/>
      <c r="E1749" s="283" t="s">
        <v>2747</v>
      </c>
      <c r="F1749" s="283"/>
      <c r="G1749" s="283" t="s">
        <v>2748</v>
      </c>
      <c r="H1749" s="283"/>
      <c r="I1749" s="14" t="s">
        <v>2749</v>
      </c>
      <c r="J1749" s="14"/>
      <c r="K1749" s="14"/>
      <c r="L1749" s="7"/>
      <c r="M1749" s="7"/>
    </row>
    <row r="1750" spans="2:13" x14ac:dyDescent="0.25">
      <c r="B1750" s="1" t="s">
        <v>2750</v>
      </c>
      <c r="C1750" s="283"/>
      <c r="D1750" s="283"/>
      <c r="E1750" s="283"/>
      <c r="F1750" s="283"/>
      <c r="G1750" s="283"/>
      <c r="H1750" s="283"/>
      <c r="I1750" s="14" t="s">
        <v>2751</v>
      </c>
      <c r="J1750" s="14"/>
      <c r="K1750" s="14"/>
      <c r="L1750" s="7"/>
      <c r="M1750" s="7"/>
    </row>
    <row r="1751" spans="2:13" x14ac:dyDescent="0.25">
      <c r="I1751" s="14" t="s">
        <v>2752</v>
      </c>
    </row>
    <row r="1752" spans="2:13" x14ac:dyDescent="0.25">
      <c r="I1752" s="14" t="s">
        <v>2753</v>
      </c>
    </row>
    <row r="1753" spans="2:13" x14ac:dyDescent="0.25">
      <c r="I1753" s="14" t="s">
        <v>2754</v>
      </c>
    </row>
    <row r="1754" spans="2:13" x14ac:dyDescent="0.25">
      <c r="I1754" s="14" t="s">
        <v>2755</v>
      </c>
    </row>
    <row r="1755" spans="2:13" x14ac:dyDescent="0.25">
      <c r="I1755" s="14" t="s">
        <v>2756</v>
      </c>
    </row>
    <row r="1756" spans="2:13" x14ac:dyDescent="0.25">
      <c r="I1756" s="14" t="s">
        <v>2757</v>
      </c>
    </row>
    <row r="1757" spans="2:13" x14ac:dyDescent="0.25">
      <c r="I1757" s="14" t="s">
        <v>2758</v>
      </c>
    </row>
    <row r="1758" spans="2:13" x14ac:dyDescent="0.25">
      <c r="I1758" s="14" t="s">
        <v>2759</v>
      </c>
    </row>
    <row r="1759" spans="2:13" x14ac:dyDescent="0.25">
      <c r="I1759" s="14" t="s">
        <v>2760</v>
      </c>
    </row>
    <row r="1760" spans="2:13" x14ac:dyDescent="0.25">
      <c r="I1760" s="14" t="s">
        <v>2761</v>
      </c>
    </row>
    <row r="1761" spans="2:13" x14ac:dyDescent="0.25">
      <c r="I1761" s="14" t="s">
        <v>2762</v>
      </c>
    </row>
    <row r="1762" spans="2:13" x14ac:dyDescent="0.25">
      <c r="I1762" s="14" t="s">
        <v>2763</v>
      </c>
    </row>
    <row r="1763" spans="2:13" x14ac:dyDescent="0.25">
      <c r="I1763" s="14" t="s">
        <v>2764</v>
      </c>
    </row>
    <row r="1764" spans="2:13" x14ac:dyDescent="0.25">
      <c r="I1764" s="14" t="s">
        <v>2765</v>
      </c>
    </row>
    <row r="1765" spans="2:13" ht="15.75" thickBot="1" x14ac:dyDescent="0.3">
      <c r="I1765" s="14" t="s">
        <v>2766</v>
      </c>
    </row>
    <row r="1766" spans="2:13" x14ac:dyDescent="0.25">
      <c r="B1766" s="274" t="s">
        <v>401</v>
      </c>
      <c r="C1766" s="275"/>
      <c r="D1766" s="275"/>
      <c r="E1766" s="275"/>
      <c r="F1766" s="275"/>
      <c r="G1766" s="275"/>
      <c r="H1766" s="275"/>
      <c r="I1766" s="275"/>
      <c r="J1766" s="275"/>
      <c r="K1766" s="275"/>
      <c r="L1766" s="275"/>
      <c r="M1766" s="276"/>
    </row>
    <row r="1767" spans="2:13" x14ac:dyDescent="0.25">
      <c r="B1767" s="3" t="s">
        <v>402</v>
      </c>
      <c r="C1767" s="232" t="s">
        <v>403</v>
      </c>
      <c r="D1767" s="232"/>
      <c r="E1767" s="232" t="s">
        <v>467</v>
      </c>
      <c r="F1767" s="232"/>
      <c r="G1767" s="232" t="s">
        <v>405</v>
      </c>
      <c r="H1767" s="232"/>
      <c r="I1767" s="234" t="s">
        <v>406</v>
      </c>
      <c r="J1767" s="277"/>
      <c r="K1767" s="234" t="s">
        <v>468</v>
      </c>
      <c r="L1767" s="235"/>
      <c r="M1767" s="236"/>
    </row>
    <row r="1768" spans="2:13" ht="15.75" thickBot="1" x14ac:dyDescent="0.3">
      <c r="B1768" s="5">
        <v>1</v>
      </c>
      <c r="C1768" s="237"/>
      <c r="D1768" s="238"/>
      <c r="E1768" s="239"/>
      <c r="F1768" s="238"/>
      <c r="G1768" s="240"/>
      <c r="H1768" s="240"/>
      <c r="I1768" s="242"/>
      <c r="J1768" s="278"/>
      <c r="K1768" s="242"/>
      <c r="L1768" s="243"/>
      <c r="M1768" s="244"/>
    </row>
    <row r="1769" spans="2:13" ht="15.75" thickBot="1" x14ac:dyDescent="0.3">
      <c r="B1769" s="1"/>
      <c r="C1769" s="1"/>
      <c r="D1769" s="1"/>
      <c r="E1769" s="1"/>
      <c r="F1769" s="1"/>
      <c r="G1769" s="1"/>
      <c r="H1769" s="1"/>
    </row>
    <row r="1770" spans="2:13" x14ac:dyDescent="0.25">
      <c r="B1770" s="274" t="s">
        <v>408</v>
      </c>
      <c r="C1770" s="275"/>
      <c r="D1770" s="275"/>
      <c r="E1770" s="275"/>
      <c r="F1770" s="275"/>
      <c r="G1770" s="275"/>
      <c r="H1770" s="275"/>
      <c r="I1770" s="275"/>
      <c r="J1770" s="275"/>
      <c r="K1770" s="275"/>
      <c r="L1770" s="275"/>
      <c r="M1770" s="276"/>
    </row>
    <row r="1771" spans="2:13" x14ac:dyDescent="0.25">
      <c r="B1771" s="3" t="s">
        <v>2767</v>
      </c>
      <c r="C1771" s="234" t="s">
        <v>2768</v>
      </c>
      <c r="D1771" s="277"/>
      <c r="E1771" s="279" t="s">
        <v>2769</v>
      </c>
      <c r="F1771" s="280"/>
      <c r="G1771" s="314" t="s">
        <v>2770</v>
      </c>
      <c r="H1771" s="315"/>
      <c r="I1771" s="234" t="s">
        <v>2771</v>
      </c>
      <c r="J1771" s="277"/>
      <c r="K1771" s="234" t="s">
        <v>2772</v>
      </c>
      <c r="L1771" s="235"/>
      <c r="M1771" s="236"/>
    </row>
    <row r="1772" spans="2:13" ht="15.75" thickBot="1" x14ac:dyDescent="0.3">
      <c r="B1772" s="5" t="s">
        <v>2773</v>
      </c>
      <c r="C1772" s="239" t="s">
        <v>2774</v>
      </c>
      <c r="D1772" s="238"/>
      <c r="E1772" s="239" t="s">
        <v>2775</v>
      </c>
      <c r="F1772" s="238"/>
      <c r="G1772" s="239" t="s">
        <v>2776</v>
      </c>
      <c r="H1772" s="238"/>
      <c r="I1772" s="281" t="s">
        <v>2777</v>
      </c>
      <c r="J1772" s="282"/>
      <c r="K1772" s="239" t="s">
        <v>2778</v>
      </c>
      <c r="L1772" s="237"/>
      <c r="M1772" s="308"/>
    </row>
    <row r="1774" spans="2:13" ht="23.25" x14ac:dyDescent="0.35">
      <c r="B1774" s="29" t="s">
        <v>334</v>
      </c>
      <c r="C1774" s="36" t="s">
        <v>116</v>
      </c>
      <c r="D1774" s="36"/>
      <c r="E1774" s="36"/>
      <c r="F1774" s="36"/>
      <c r="G1774" s="36"/>
      <c r="H1774" s="36"/>
      <c r="I1774" s="36"/>
      <c r="J1774" s="36"/>
    </row>
    <row r="1775" spans="2:13" ht="18.75" x14ac:dyDescent="0.3">
      <c r="B1775" s="12" t="s">
        <v>335</v>
      </c>
      <c r="C1775" s="195" t="s">
        <v>336</v>
      </c>
      <c r="D1775" s="228" t="s">
        <v>427</v>
      </c>
      <c r="E1775" s="228"/>
      <c r="F1775" s="1" t="s">
        <v>832</v>
      </c>
      <c r="L1775" s="12" t="s">
        <v>339</v>
      </c>
      <c r="M1775" s="6" t="s">
        <v>115</v>
      </c>
    </row>
    <row r="1776" spans="2:13" x14ac:dyDescent="0.25">
      <c r="F1776" s="1" t="s">
        <v>833</v>
      </c>
    </row>
    <row r="1777" spans="2:13" x14ac:dyDescent="0.25">
      <c r="B1777" s="2" t="s">
        <v>341</v>
      </c>
      <c r="C1777" s="250" t="s">
        <v>342</v>
      </c>
      <c r="D1777" s="250"/>
      <c r="E1777" s="250" t="s">
        <v>343</v>
      </c>
      <c r="F1777" s="250"/>
      <c r="G1777" s="250" t="s">
        <v>954</v>
      </c>
      <c r="H1777" s="250"/>
      <c r="I1777" s="228" t="s">
        <v>345</v>
      </c>
      <c r="J1777" s="228"/>
      <c r="K1777" s="228"/>
      <c r="L1777" s="228"/>
      <c r="M1777" s="228"/>
    </row>
    <row r="1778" spans="2:13" x14ac:dyDescent="0.25">
      <c r="C1778" s="251"/>
      <c r="D1778" s="251"/>
      <c r="E1778" s="251"/>
      <c r="F1778" s="251"/>
      <c r="G1778" s="251"/>
      <c r="H1778" s="251"/>
      <c r="I1778" s="7"/>
      <c r="J1778" s="7"/>
      <c r="K1778" s="7"/>
      <c r="L1778" s="7"/>
      <c r="M1778" s="7"/>
    </row>
    <row r="1779" spans="2:13" x14ac:dyDescent="0.25">
      <c r="B1779" s="11" t="s">
        <v>2779</v>
      </c>
      <c r="C1779" s="230" t="s">
        <v>2780</v>
      </c>
      <c r="D1779" s="230"/>
      <c r="E1779" s="230" t="s">
        <v>2781</v>
      </c>
      <c r="F1779" s="230"/>
      <c r="G1779" s="230" t="s">
        <v>2782</v>
      </c>
      <c r="H1779" s="230"/>
      <c r="I1779" s="14" t="s">
        <v>2783</v>
      </c>
      <c r="J1779" s="14"/>
      <c r="K1779" s="14"/>
      <c r="L1779" s="7"/>
      <c r="M1779" s="7"/>
    </row>
    <row r="1780" spans="2:13" x14ac:dyDescent="0.25">
      <c r="B1780" s="11" t="s">
        <v>2784</v>
      </c>
      <c r="C1780" s="185"/>
      <c r="D1780" s="185"/>
      <c r="E1780" s="185"/>
      <c r="F1780" s="185"/>
      <c r="G1780" s="185"/>
      <c r="H1780" s="185"/>
      <c r="I1780" s="14" t="s">
        <v>2785</v>
      </c>
      <c r="J1780" s="14"/>
      <c r="L1780" s="7"/>
      <c r="M1780" s="7"/>
    </row>
    <row r="1781" spans="2:13" x14ac:dyDescent="0.25">
      <c r="B1781" s="1" t="s">
        <v>2786</v>
      </c>
      <c r="C1781" s="283" t="s">
        <v>966</v>
      </c>
      <c r="D1781" s="283"/>
      <c r="E1781" s="283" t="s">
        <v>1591</v>
      </c>
      <c r="F1781" s="283"/>
      <c r="G1781" s="283" t="s">
        <v>654</v>
      </c>
      <c r="H1781" s="283"/>
      <c r="I1781" s="14" t="s">
        <v>2787</v>
      </c>
      <c r="J1781" s="14"/>
      <c r="K1781" s="14"/>
      <c r="L1781" s="7"/>
      <c r="M1781" s="7"/>
    </row>
    <row r="1782" spans="2:13" x14ac:dyDescent="0.25">
      <c r="B1782" s="1"/>
      <c r="C1782" s="283"/>
      <c r="D1782" s="283"/>
      <c r="E1782" s="283"/>
      <c r="F1782" s="283"/>
      <c r="G1782" s="283"/>
      <c r="H1782" s="283"/>
      <c r="I1782" s="14" t="s">
        <v>2788</v>
      </c>
      <c r="J1782" s="14"/>
      <c r="K1782" s="14"/>
      <c r="L1782" s="7"/>
      <c r="M1782" s="7"/>
    </row>
    <row r="1783" spans="2:13" x14ac:dyDescent="0.25">
      <c r="B1783" s="11" t="s">
        <v>2789</v>
      </c>
      <c r="C1783" s="230" t="s">
        <v>843</v>
      </c>
      <c r="D1783" s="230"/>
      <c r="E1783" s="230" t="s">
        <v>2790</v>
      </c>
      <c r="F1783" s="230"/>
      <c r="G1783" s="230" t="s">
        <v>2791</v>
      </c>
      <c r="H1783" s="230"/>
      <c r="I1783" s="14" t="s">
        <v>2792</v>
      </c>
      <c r="J1783" s="14"/>
      <c r="L1783" s="7"/>
      <c r="M1783" s="7"/>
    </row>
    <row r="1784" spans="2:13" x14ac:dyDescent="0.25">
      <c r="B1784" s="11" t="s">
        <v>2793</v>
      </c>
      <c r="C1784" s="230"/>
      <c r="D1784" s="230"/>
      <c r="E1784" s="230"/>
      <c r="F1784" s="230"/>
      <c r="G1784" s="230"/>
      <c r="H1784" s="230"/>
      <c r="I1784" s="14" t="s">
        <v>2794</v>
      </c>
      <c r="J1784" s="14"/>
      <c r="K1784" s="14"/>
      <c r="L1784" s="7"/>
      <c r="M1784" s="7"/>
    </row>
    <row r="1785" spans="2:13" x14ac:dyDescent="0.25">
      <c r="B1785" s="1" t="s">
        <v>1796</v>
      </c>
      <c r="C1785" s="283" t="s">
        <v>966</v>
      </c>
      <c r="D1785" s="283"/>
      <c r="E1785" s="283" t="s">
        <v>1591</v>
      </c>
      <c r="F1785" s="283"/>
      <c r="G1785" s="283" t="s">
        <v>654</v>
      </c>
      <c r="H1785" s="283"/>
      <c r="I1785" s="14" t="s">
        <v>2795</v>
      </c>
      <c r="J1785" s="14"/>
      <c r="K1785" s="14"/>
      <c r="L1785" s="7"/>
      <c r="M1785" s="7"/>
    </row>
    <row r="1786" spans="2:13" x14ac:dyDescent="0.25">
      <c r="B1786" s="1" t="s">
        <v>1801</v>
      </c>
      <c r="C1786" s="283" t="s">
        <v>382</v>
      </c>
      <c r="D1786" s="283"/>
      <c r="E1786" s="283" t="s">
        <v>375</v>
      </c>
      <c r="F1786" s="283"/>
      <c r="G1786" s="283" t="s">
        <v>383</v>
      </c>
      <c r="H1786" s="283"/>
      <c r="I1786" s="14" t="s">
        <v>2796</v>
      </c>
      <c r="J1786" s="14"/>
      <c r="K1786" s="14"/>
      <c r="L1786" s="7"/>
      <c r="M1786" s="7"/>
    </row>
    <row r="1787" spans="2:13" x14ac:dyDescent="0.25">
      <c r="B1787" s="11" t="s">
        <v>2797</v>
      </c>
      <c r="C1787" s="230" t="s">
        <v>508</v>
      </c>
      <c r="D1787" s="230"/>
      <c r="E1787" s="230" t="s">
        <v>678</v>
      </c>
      <c r="F1787" s="230"/>
      <c r="G1787" s="230" t="s">
        <v>455</v>
      </c>
      <c r="H1787" s="230"/>
      <c r="I1787" s="14" t="s">
        <v>2798</v>
      </c>
      <c r="J1787" s="14"/>
      <c r="L1787" s="7"/>
      <c r="M1787" s="7"/>
    </row>
    <row r="1788" spans="2:13" x14ac:dyDescent="0.25">
      <c r="B1788" s="11"/>
      <c r="C1788" s="185"/>
      <c r="D1788" s="185"/>
      <c r="E1788" s="185"/>
      <c r="F1788" s="185"/>
      <c r="G1788" s="185"/>
      <c r="H1788" s="185"/>
      <c r="J1788" s="14"/>
      <c r="L1788" s="7"/>
      <c r="M1788" s="7"/>
    </row>
    <row r="1789" spans="2:13" x14ac:dyDescent="0.25">
      <c r="B1789" s="1" t="s">
        <v>1046</v>
      </c>
      <c r="C1789" s="283" t="s">
        <v>744</v>
      </c>
      <c r="D1789" s="283"/>
      <c r="E1789" s="283" t="s">
        <v>891</v>
      </c>
      <c r="F1789" s="283"/>
      <c r="G1789" s="283" t="s">
        <v>1630</v>
      </c>
      <c r="H1789" s="283"/>
      <c r="I1789" s="14" t="s">
        <v>1665</v>
      </c>
      <c r="J1789" s="14"/>
      <c r="K1789" s="14"/>
      <c r="L1789" s="7"/>
      <c r="M1789" s="7"/>
    </row>
    <row r="1790" spans="2:13" x14ac:dyDescent="0.25">
      <c r="B1790" s="1"/>
      <c r="C1790" s="195"/>
      <c r="D1790" s="195"/>
      <c r="E1790" s="195"/>
      <c r="F1790" s="195"/>
      <c r="G1790" s="195"/>
      <c r="H1790" s="195"/>
      <c r="I1790" s="14" t="s">
        <v>1666</v>
      </c>
      <c r="J1790" s="14"/>
      <c r="K1790" s="14"/>
      <c r="L1790" s="7"/>
      <c r="M1790" s="7"/>
    </row>
    <row r="1791" spans="2:13" x14ac:dyDescent="0.25">
      <c r="B1791" s="11" t="s">
        <v>2799</v>
      </c>
      <c r="C1791" s="317" t="s">
        <v>2800</v>
      </c>
      <c r="D1791" s="317"/>
      <c r="E1791" s="317" t="s">
        <v>2218</v>
      </c>
      <c r="F1791" s="317"/>
      <c r="G1791" s="317" t="s">
        <v>596</v>
      </c>
      <c r="H1791" s="317"/>
      <c r="I1791" s="14"/>
      <c r="J1791" s="14"/>
      <c r="K1791" s="14"/>
      <c r="L1791" s="7"/>
      <c r="M1791" s="7"/>
    </row>
    <row r="1792" spans="2:13" x14ac:dyDescent="0.25">
      <c r="B1792" s="11"/>
      <c r="C1792" s="185"/>
      <c r="D1792" s="185"/>
      <c r="E1792" s="185"/>
      <c r="F1792" s="185"/>
      <c r="G1792" s="185"/>
      <c r="H1792" s="185"/>
      <c r="I1792" s="14"/>
      <c r="J1792" s="14"/>
      <c r="K1792" s="14"/>
    </row>
    <row r="1793" spans="2:11" x14ac:dyDescent="0.25">
      <c r="B1793" s="1" t="s">
        <v>2801</v>
      </c>
      <c r="C1793" s="283" t="s">
        <v>2802</v>
      </c>
      <c r="D1793" s="283"/>
      <c r="E1793" s="283" t="s">
        <v>2431</v>
      </c>
      <c r="F1793" s="283"/>
      <c r="G1793" s="283" t="s">
        <v>2008</v>
      </c>
      <c r="H1793" s="283"/>
      <c r="I1793" s="14"/>
      <c r="J1793" s="14"/>
      <c r="K1793" s="14"/>
    </row>
    <row r="1794" spans="2:11" x14ac:dyDescent="0.25">
      <c r="B1794" s="1" t="s">
        <v>1583</v>
      </c>
      <c r="C1794" s="283"/>
      <c r="D1794" s="283"/>
      <c r="E1794" s="283"/>
      <c r="F1794" s="283"/>
      <c r="G1794" s="283"/>
      <c r="H1794" s="283"/>
      <c r="I1794" s="14"/>
      <c r="J1794" s="14"/>
      <c r="K1794" s="14"/>
    </row>
    <row r="1795" spans="2:11" x14ac:dyDescent="0.25">
      <c r="B1795" s="11" t="s">
        <v>1470</v>
      </c>
      <c r="C1795" s="230" t="s">
        <v>744</v>
      </c>
      <c r="D1795" s="230"/>
      <c r="E1795" s="230" t="s">
        <v>1630</v>
      </c>
      <c r="F1795" s="230"/>
      <c r="G1795" s="230" t="s">
        <v>491</v>
      </c>
      <c r="H1795" s="230"/>
      <c r="I1795" s="14"/>
      <c r="J1795" s="14"/>
      <c r="K1795" s="14"/>
    </row>
    <row r="1796" spans="2:11" x14ac:dyDescent="0.25">
      <c r="B1796" s="11"/>
      <c r="C1796" s="185"/>
      <c r="D1796" s="185"/>
      <c r="E1796" s="185"/>
      <c r="F1796" s="185"/>
      <c r="G1796" s="185"/>
      <c r="H1796" s="185"/>
      <c r="I1796" s="14"/>
      <c r="J1796" s="14"/>
      <c r="K1796" s="14"/>
    </row>
    <row r="1797" spans="2:11" x14ac:dyDescent="0.25">
      <c r="B1797" s="1" t="s">
        <v>1396</v>
      </c>
      <c r="C1797" s="283" t="s">
        <v>491</v>
      </c>
      <c r="D1797" s="283"/>
      <c r="E1797" s="283" t="s">
        <v>1049</v>
      </c>
      <c r="F1797" s="283"/>
      <c r="G1797" s="283" t="s">
        <v>2803</v>
      </c>
      <c r="H1797" s="283"/>
      <c r="I1797" s="14"/>
      <c r="J1797" s="14"/>
    </row>
    <row r="1798" spans="2:11" x14ac:dyDescent="0.25">
      <c r="B1798" s="1"/>
      <c r="C1798" s="195"/>
      <c r="D1798" s="195"/>
      <c r="E1798" s="195"/>
      <c r="F1798" s="195"/>
      <c r="G1798" s="195"/>
      <c r="H1798" s="195"/>
      <c r="I1798" s="14"/>
      <c r="J1798" s="14"/>
    </row>
    <row r="1799" spans="2:11" x14ac:dyDescent="0.25">
      <c r="B1799" s="11" t="s">
        <v>848</v>
      </c>
      <c r="C1799" s="230" t="s">
        <v>2637</v>
      </c>
      <c r="D1799" s="230"/>
      <c r="E1799" s="230" t="s">
        <v>2804</v>
      </c>
      <c r="F1799" s="230"/>
      <c r="G1799" s="230" t="s">
        <v>2805</v>
      </c>
      <c r="H1799" s="230"/>
      <c r="I1799" s="14"/>
      <c r="J1799" s="14"/>
      <c r="K1799" s="14"/>
    </row>
    <row r="1800" spans="2:11" x14ac:dyDescent="0.25">
      <c r="B1800" s="11"/>
      <c r="C1800" s="185"/>
      <c r="D1800" s="185"/>
      <c r="E1800" s="185"/>
      <c r="F1800" s="185"/>
      <c r="G1800" s="185"/>
      <c r="H1800" s="185"/>
      <c r="I1800" s="14"/>
      <c r="J1800" s="14"/>
      <c r="K1800" s="14"/>
    </row>
    <row r="1801" spans="2:11" x14ac:dyDescent="0.25">
      <c r="B1801" s="32" t="s">
        <v>1112</v>
      </c>
      <c r="C1801" s="288" t="s">
        <v>2806</v>
      </c>
      <c r="D1801" s="288"/>
      <c r="E1801" s="288" t="s">
        <v>2807</v>
      </c>
      <c r="F1801" s="288"/>
      <c r="G1801" s="288" t="s">
        <v>2808</v>
      </c>
      <c r="H1801" s="288"/>
      <c r="I1801" s="14"/>
      <c r="J1801" s="14"/>
      <c r="K1801" s="14"/>
    </row>
    <row r="1802" spans="2:11" x14ac:dyDescent="0.25">
      <c r="B1802" s="32" t="s">
        <v>2809</v>
      </c>
      <c r="C1802" s="198"/>
      <c r="D1802" s="198"/>
      <c r="E1802" s="198"/>
      <c r="F1802" s="198"/>
      <c r="G1802" s="198"/>
      <c r="H1802" s="198"/>
      <c r="I1802" s="14"/>
      <c r="J1802" s="14"/>
      <c r="K1802" s="14"/>
    </row>
    <row r="1803" spans="2:11" x14ac:dyDescent="0.25">
      <c r="B1803" s="11" t="s">
        <v>2810</v>
      </c>
      <c r="C1803" s="230" t="s">
        <v>1629</v>
      </c>
      <c r="D1803" s="230"/>
      <c r="E1803" s="230" t="s">
        <v>1223</v>
      </c>
      <c r="F1803" s="230"/>
      <c r="G1803" s="230" t="s">
        <v>891</v>
      </c>
      <c r="H1803" s="230"/>
      <c r="I1803" s="14"/>
      <c r="J1803" s="14"/>
      <c r="K1803" s="14"/>
    </row>
    <row r="1804" spans="2:11" x14ac:dyDescent="0.25">
      <c r="B1804" s="11"/>
      <c r="C1804" s="185"/>
      <c r="D1804" s="185"/>
      <c r="E1804" s="185"/>
      <c r="F1804" s="185"/>
      <c r="G1804" s="185"/>
      <c r="H1804" s="185"/>
      <c r="I1804" s="14"/>
      <c r="J1804" s="14"/>
      <c r="K1804" s="14"/>
    </row>
    <row r="1805" spans="2:11" x14ac:dyDescent="0.25">
      <c r="B1805" s="32" t="s">
        <v>2811</v>
      </c>
      <c r="C1805" s="288" t="s">
        <v>1026</v>
      </c>
      <c r="D1805" s="288"/>
      <c r="E1805" s="288" t="s">
        <v>2812</v>
      </c>
      <c r="F1805" s="288"/>
      <c r="G1805" s="288" t="s">
        <v>1100</v>
      </c>
      <c r="H1805" s="288"/>
      <c r="I1805" s="14"/>
      <c r="J1805" s="14"/>
      <c r="K1805" s="14"/>
    </row>
    <row r="1806" spans="2:11" x14ac:dyDescent="0.25">
      <c r="B1806" s="32"/>
      <c r="C1806" s="198"/>
      <c r="D1806" s="198"/>
      <c r="E1806" s="198"/>
      <c r="F1806" s="198"/>
      <c r="G1806" s="198"/>
      <c r="H1806" s="198"/>
      <c r="I1806" s="14"/>
      <c r="J1806" s="14"/>
      <c r="K1806" s="14"/>
    </row>
    <row r="1807" spans="2:11" x14ac:dyDescent="0.25">
      <c r="B1807" s="11" t="s">
        <v>518</v>
      </c>
      <c r="C1807" s="230" t="s">
        <v>1878</v>
      </c>
      <c r="D1807" s="230"/>
      <c r="E1807" s="230" t="s">
        <v>2813</v>
      </c>
      <c r="F1807" s="230"/>
      <c r="G1807" s="230" t="s">
        <v>972</v>
      </c>
      <c r="H1807" s="230"/>
      <c r="I1807" s="14"/>
      <c r="J1807" s="14"/>
      <c r="K1807" s="14"/>
    </row>
    <row r="1808" spans="2:11" ht="15.75" thickBot="1" x14ac:dyDescent="0.3">
      <c r="B1808" s="11"/>
      <c r="C1808" s="185"/>
      <c r="D1808" s="185"/>
      <c r="E1808" s="185"/>
      <c r="F1808" s="185"/>
      <c r="G1808" s="185"/>
      <c r="H1808" s="185"/>
      <c r="I1808" s="14"/>
      <c r="J1808" s="14"/>
      <c r="K1808" s="14"/>
    </row>
    <row r="1809" spans="2:13" x14ac:dyDescent="0.25">
      <c r="B1809" s="274" t="s">
        <v>401</v>
      </c>
      <c r="C1809" s="275"/>
      <c r="D1809" s="275"/>
      <c r="E1809" s="275"/>
      <c r="F1809" s="275"/>
      <c r="G1809" s="275"/>
      <c r="H1809" s="275"/>
      <c r="I1809" s="275"/>
      <c r="J1809" s="275"/>
      <c r="K1809" s="275"/>
      <c r="L1809" s="275"/>
      <c r="M1809" s="276"/>
    </row>
    <row r="1810" spans="2:13" x14ac:dyDescent="0.25">
      <c r="B1810" s="3" t="s">
        <v>402</v>
      </c>
      <c r="C1810" s="232" t="s">
        <v>403</v>
      </c>
      <c r="D1810" s="232"/>
      <c r="E1810" s="232" t="s">
        <v>467</v>
      </c>
      <c r="F1810" s="232"/>
      <c r="G1810" s="232" t="s">
        <v>405</v>
      </c>
      <c r="H1810" s="232"/>
      <c r="I1810" s="234" t="s">
        <v>406</v>
      </c>
      <c r="J1810" s="277"/>
      <c r="K1810" s="234" t="s">
        <v>468</v>
      </c>
      <c r="L1810" s="235"/>
      <c r="M1810" s="236"/>
    </row>
    <row r="1811" spans="2:13" ht="15.75" thickBot="1" x14ac:dyDescent="0.3">
      <c r="B1811" s="5">
        <v>0.98</v>
      </c>
      <c r="C1811" s="237">
        <v>0.6885</v>
      </c>
      <c r="D1811" s="238"/>
      <c r="E1811" s="239">
        <v>0.23499999999999999</v>
      </c>
      <c r="F1811" s="238"/>
      <c r="G1811" s="240"/>
      <c r="H1811" s="240"/>
      <c r="I1811" s="242"/>
      <c r="J1811" s="278"/>
      <c r="K1811" s="242"/>
      <c r="L1811" s="243"/>
      <c r="M1811" s="244"/>
    </row>
    <row r="1812" spans="2:13" ht="15.75" thickBot="1" x14ac:dyDescent="0.3">
      <c r="B1812" s="1"/>
      <c r="C1812" s="1"/>
      <c r="D1812" s="1"/>
      <c r="E1812" s="1"/>
      <c r="F1812" s="1"/>
      <c r="G1812" s="1"/>
      <c r="H1812" s="1"/>
    </row>
    <row r="1813" spans="2:13" x14ac:dyDescent="0.25">
      <c r="B1813" s="274" t="s">
        <v>408</v>
      </c>
      <c r="C1813" s="275"/>
      <c r="D1813" s="275"/>
      <c r="E1813" s="275"/>
      <c r="F1813" s="275"/>
      <c r="G1813" s="275"/>
      <c r="H1813" s="275"/>
      <c r="I1813" s="275"/>
      <c r="J1813" s="275"/>
      <c r="K1813" s="275"/>
      <c r="L1813" s="275"/>
      <c r="M1813" s="276"/>
    </row>
    <row r="1814" spans="2:13" x14ac:dyDescent="0.25">
      <c r="B1814" s="3" t="s">
        <v>2814</v>
      </c>
      <c r="C1814" s="232" t="s">
        <v>2815</v>
      </c>
      <c r="D1814" s="232"/>
      <c r="E1814" s="268" t="s">
        <v>2816</v>
      </c>
      <c r="F1814" s="268"/>
      <c r="G1814" s="233" t="s">
        <v>1606</v>
      </c>
      <c r="H1814" s="233"/>
      <c r="I1814" s="234" t="s">
        <v>2817</v>
      </c>
      <c r="J1814" s="277"/>
      <c r="K1814" s="232" t="s">
        <v>2818</v>
      </c>
      <c r="L1814" s="232"/>
      <c r="M1814" s="269"/>
    </row>
    <row r="1815" spans="2:13" ht="15.75" thickBot="1" x14ac:dyDescent="0.3">
      <c r="B1815" s="5" t="s">
        <v>2819</v>
      </c>
      <c r="C1815" s="240" t="s">
        <v>2820</v>
      </c>
      <c r="D1815" s="240"/>
      <c r="E1815" s="240" t="s">
        <v>2821</v>
      </c>
      <c r="F1815" s="240"/>
      <c r="G1815" s="240" t="s">
        <v>2822</v>
      </c>
      <c r="H1815" s="240"/>
      <c r="I1815" s="281" t="s">
        <v>2823</v>
      </c>
      <c r="J1815" s="282"/>
      <c r="K1815" s="240" t="s">
        <v>2824</v>
      </c>
      <c r="L1815" s="240"/>
      <c r="M1815" s="267"/>
    </row>
    <row r="1817" spans="2:13" ht="23.25" x14ac:dyDescent="0.35">
      <c r="B1817" s="29" t="s">
        <v>334</v>
      </c>
      <c r="C1817" s="36" t="s">
        <v>124</v>
      </c>
      <c r="D1817" s="36"/>
      <c r="E1817" s="36"/>
      <c r="F1817" s="36"/>
      <c r="G1817" s="36"/>
      <c r="H1817" s="36"/>
      <c r="I1817" s="36"/>
      <c r="J1817" s="36"/>
    </row>
    <row r="1818" spans="2:13" ht="18.75" x14ac:dyDescent="0.3">
      <c r="B1818" s="12" t="s">
        <v>335</v>
      </c>
      <c r="C1818" s="195" t="s">
        <v>336</v>
      </c>
      <c r="D1818" s="228" t="s">
        <v>427</v>
      </c>
      <c r="E1818" s="228"/>
      <c r="F1818" s="1" t="s">
        <v>2825</v>
      </c>
      <c r="L1818" s="12" t="s">
        <v>339</v>
      </c>
      <c r="M1818" s="6" t="s">
        <v>123</v>
      </c>
    </row>
    <row r="1820" spans="2:13" x14ac:dyDescent="0.25">
      <c r="B1820" s="2" t="s">
        <v>341</v>
      </c>
      <c r="C1820" s="250" t="s">
        <v>342</v>
      </c>
      <c r="D1820" s="250"/>
      <c r="E1820" s="250" t="s">
        <v>343</v>
      </c>
      <c r="F1820" s="250"/>
      <c r="G1820" s="250" t="s">
        <v>954</v>
      </c>
      <c r="H1820" s="250"/>
      <c r="I1820" s="228" t="s">
        <v>345</v>
      </c>
      <c r="J1820" s="228"/>
      <c r="K1820" s="228"/>
      <c r="L1820" s="228"/>
      <c r="M1820" s="228"/>
    </row>
    <row r="1821" spans="2:13" x14ac:dyDescent="0.25">
      <c r="C1821" s="251"/>
      <c r="D1821" s="251"/>
      <c r="E1821" s="251"/>
      <c r="F1821" s="251"/>
      <c r="G1821" s="251"/>
      <c r="H1821" s="251"/>
      <c r="I1821" s="7"/>
      <c r="J1821" s="7"/>
      <c r="K1821" s="7"/>
      <c r="L1821" s="7"/>
      <c r="M1821" s="7"/>
    </row>
    <row r="1822" spans="2:13" x14ac:dyDescent="0.25">
      <c r="B1822" s="11" t="s">
        <v>457</v>
      </c>
      <c r="C1822" s="230" t="s">
        <v>882</v>
      </c>
      <c r="D1822" s="230"/>
      <c r="E1822" s="230" t="s">
        <v>1131</v>
      </c>
      <c r="F1822" s="230"/>
      <c r="G1822" s="230" t="s">
        <v>1026</v>
      </c>
      <c r="H1822" s="230"/>
      <c r="I1822" s="14" t="s">
        <v>2826</v>
      </c>
      <c r="J1822" s="14"/>
      <c r="K1822" s="14"/>
      <c r="L1822" s="7"/>
      <c r="M1822" s="7"/>
    </row>
    <row r="1823" spans="2:13" x14ac:dyDescent="0.25">
      <c r="B1823" s="11"/>
      <c r="C1823" s="185"/>
      <c r="D1823" s="185"/>
      <c r="E1823" s="185"/>
      <c r="F1823" s="185"/>
      <c r="G1823" s="185"/>
      <c r="H1823" s="185"/>
      <c r="I1823" s="14" t="s">
        <v>2827</v>
      </c>
      <c r="J1823" s="14"/>
      <c r="L1823" s="7"/>
      <c r="M1823" s="7"/>
    </row>
    <row r="1824" spans="2:13" x14ac:dyDescent="0.25">
      <c r="B1824" s="1" t="s">
        <v>397</v>
      </c>
      <c r="C1824" s="283" t="s">
        <v>1969</v>
      </c>
      <c r="D1824" s="283"/>
      <c r="E1824" s="283" t="s">
        <v>1970</v>
      </c>
      <c r="F1824" s="283"/>
      <c r="G1824" s="283" t="s">
        <v>885</v>
      </c>
      <c r="H1824" s="283"/>
      <c r="I1824" s="14" t="s">
        <v>2828</v>
      </c>
      <c r="J1824" s="14"/>
      <c r="K1824" s="14"/>
      <c r="L1824" s="7"/>
      <c r="M1824" s="7"/>
    </row>
    <row r="1825" spans="2:13" x14ac:dyDescent="0.25">
      <c r="B1825" s="1"/>
      <c r="C1825" s="283"/>
      <c r="D1825" s="283"/>
      <c r="E1825" s="283"/>
      <c r="F1825" s="283"/>
      <c r="G1825" s="283"/>
      <c r="H1825" s="283"/>
      <c r="I1825" s="14" t="s">
        <v>2829</v>
      </c>
      <c r="J1825" s="14"/>
      <c r="K1825" s="14"/>
      <c r="L1825" s="7"/>
      <c r="M1825" s="7"/>
    </row>
    <row r="1826" spans="2:13" x14ac:dyDescent="0.25">
      <c r="B1826" s="11" t="s">
        <v>548</v>
      </c>
      <c r="C1826" s="230" t="s">
        <v>2830</v>
      </c>
      <c r="D1826" s="230"/>
      <c r="E1826" s="230" t="s">
        <v>742</v>
      </c>
      <c r="F1826" s="230"/>
      <c r="G1826" s="230" t="s">
        <v>2831</v>
      </c>
      <c r="H1826" s="230"/>
      <c r="I1826" s="14" t="s">
        <v>2832</v>
      </c>
      <c r="J1826" s="14"/>
      <c r="L1826" s="7"/>
      <c r="M1826" s="7"/>
    </row>
    <row r="1827" spans="2:13" x14ac:dyDescent="0.25">
      <c r="B1827" s="11"/>
      <c r="C1827" s="230"/>
      <c r="D1827" s="230"/>
      <c r="E1827" s="230"/>
      <c r="F1827" s="230"/>
      <c r="G1827" s="230"/>
      <c r="H1827" s="230"/>
      <c r="I1827" s="14" t="s">
        <v>2833</v>
      </c>
      <c r="J1827" s="14"/>
      <c r="K1827" s="14"/>
      <c r="L1827" s="7"/>
      <c r="M1827" s="7"/>
    </row>
    <row r="1828" spans="2:13" x14ac:dyDescent="0.25">
      <c r="B1828" s="1" t="s">
        <v>1046</v>
      </c>
      <c r="C1828" s="283" t="s">
        <v>1100</v>
      </c>
      <c r="D1828" s="283"/>
      <c r="E1828" s="283" t="s">
        <v>1101</v>
      </c>
      <c r="F1828" s="283"/>
      <c r="G1828" s="283" t="s">
        <v>1102</v>
      </c>
      <c r="H1828" s="283"/>
      <c r="I1828" s="14" t="s">
        <v>2834</v>
      </c>
      <c r="J1828" s="14"/>
      <c r="K1828" s="14"/>
      <c r="L1828" s="7"/>
      <c r="M1828" s="7"/>
    </row>
    <row r="1829" spans="2:13" x14ac:dyDescent="0.25">
      <c r="B1829" s="1"/>
      <c r="C1829" s="283"/>
      <c r="D1829" s="283"/>
      <c r="E1829" s="283"/>
      <c r="F1829" s="283"/>
      <c r="G1829" s="283"/>
      <c r="H1829" s="283"/>
      <c r="I1829" s="14"/>
      <c r="J1829" s="14"/>
      <c r="K1829" s="14"/>
      <c r="L1829" s="7"/>
      <c r="M1829" s="7"/>
    </row>
    <row r="1830" spans="2:13" x14ac:dyDescent="0.25">
      <c r="B1830" s="11" t="s">
        <v>1713</v>
      </c>
      <c r="C1830" s="230" t="s">
        <v>2835</v>
      </c>
      <c r="D1830" s="230"/>
      <c r="E1830" s="230" t="s">
        <v>2836</v>
      </c>
      <c r="F1830" s="230"/>
      <c r="G1830" s="230" t="s">
        <v>2837</v>
      </c>
      <c r="H1830" s="230"/>
      <c r="I1830" s="14"/>
      <c r="J1830" s="14"/>
      <c r="L1830" s="7"/>
      <c r="M1830" s="7"/>
    </row>
    <row r="1831" spans="2:13" x14ac:dyDescent="0.25">
      <c r="B1831" s="11"/>
      <c r="C1831" s="185"/>
      <c r="D1831" s="185"/>
      <c r="E1831" s="185"/>
      <c r="F1831" s="185"/>
      <c r="G1831" s="185"/>
      <c r="H1831" s="185"/>
      <c r="I1831" s="14" t="s">
        <v>2838</v>
      </c>
      <c r="J1831" s="14"/>
      <c r="L1831" s="7"/>
      <c r="M1831" s="7"/>
    </row>
    <row r="1832" spans="2:13" x14ac:dyDescent="0.25">
      <c r="B1832" s="1" t="s">
        <v>2481</v>
      </c>
      <c r="C1832" s="283" t="s">
        <v>956</v>
      </c>
      <c r="D1832" s="283"/>
      <c r="E1832" s="283" t="s">
        <v>2839</v>
      </c>
      <c r="F1832" s="283"/>
      <c r="G1832" s="283" t="s">
        <v>2840</v>
      </c>
      <c r="H1832" s="283"/>
      <c r="I1832" s="14" t="s">
        <v>2841</v>
      </c>
      <c r="J1832" s="14"/>
      <c r="K1832" s="14"/>
      <c r="L1832" s="7"/>
      <c r="M1832" s="7"/>
    </row>
    <row r="1833" spans="2:13" x14ac:dyDescent="0.25">
      <c r="B1833" s="1"/>
      <c r="C1833" s="195"/>
      <c r="D1833" s="195"/>
      <c r="E1833" s="195"/>
      <c r="F1833" s="195"/>
      <c r="G1833" s="195"/>
      <c r="H1833" s="195"/>
      <c r="I1833" s="14" t="s">
        <v>2842</v>
      </c>
      <c r="J1833" s="14"/>
      <c r="K1833" s="14"/>
      <c r="L1833" s="7"/>
      <c r="M1833" s="7"/>
    </row>
    <row r="1834" spans="2:13" x14ac:dyDescent="0.25">
      <c r="B1834" s="11" t="s">
        <v>2843</v>
      </c>
      <c r="C1834" s="317" t="s">
        <v>2844</v>
      </c>
      <c r="D1834" s="317"/>
      <c r="E1834" s="317" t="s">
        <v>1546</v>
      </c>
      <c r="F1834" s="317"/>
      <c r="G1834" s="317" t="s">
        <v>2845</v>
      </c>
      <c r="H1834" s="317"/>
      <c r="I1834" s="14" t="s">
        <v>2846</v>
      </c>
      <c r="J1834" s="14"/>
      <c r="K1834" s="14"/>
      <c r="L1834" s="7"/>
      <c r="M1834" s="7"/>
    </row>
    <row r="1835" spans="2:13" x14ac:dyDescent="0.25">
      <c r="B1835" s="11"/>
      <c r="C1835" s="185"/>
      <c r="D1835" s="185"/>
      <c r="E1835" s="185"/>
      <c r="F1835" s="185"/>
      <c r="G1835" s="185"/>
      <c r="H1835" s="185"/>
      <c r="I1835" s="14" t="s">
        <v>2847</v>
      </c>
      <c r="J1835" s="14"/>
      <c r="K1835" s="14"/>
    </row>
    <row r="1836" spans="2:13" x14ac:dyDescent="0.25">
      <c r="B1836" s="1" t="s">
        <v>2518</v>
      </c>
      <c r="C1836" s="283" t="s">
        <v>545</v>
      </c>
      <c r="D1836" s="283"/>
      <c r="E1836" s="283" t="s">
        <v>984</v>
      </c>
      <c r="F1836" s="283"/>
      <c r="G1836" s="283" t="s">
        <v>985</v>
      </c>
      <c r="H1836" s="283"/>
      <c r="I1836" s="14" t="s">
        <v>2848</v>
      </c>
      <c r="J1836" s="14"/>
      <c r="K1836" s="14"/>
    </row>
    <row r="1837" spans="2:13" x14ac:dyDescent="0.25">
      <c r="B1837" s="1"/>
      <c r="C1837" s="283"/>
      <c r="D1837" s="283"/>
      <c r="E1837" s="283"/>
      <c r="F1837" s="283"/>
      <c r="G1837" s="283"/>
      <c r="H1837" s="283"/>
      <c r="I1837" s="14" t="s">
        <v>2849</v>
      </c>
      <c r="J1837" s="14"/>
      <c r="K1837" s="14"/>
    </row>
    <row r="1838" spans="2:13" x14ac:dyDescent="0.25">
      <c r="B1838" s="11" t="s">
        <v>1713</v>
      </c>
      <c r="C1838" s="230" t="s">
        <v>1274</v>
      </c>
      <c r="D1838" s="230"/>
      <c r="E1838" s="230" t="s">
        <v>2850</v>
      </c>
      <c r="F1838" s="230"/>
      <c r="G1838" s="230" t="s">
        <v>1276</v>
      </c>
      <c r="H1838" s="230"/>
      <c r="I1838" s="14"/>
      <c r="J1838" s="14"/>
      <c r="K1838" s="14"/>
    </row>
    <row r="1839" spans="2:13" x14ac:dyDescent="0.25">
      <c r="B1839" s="11"/>
      <c r="C1839" s="185"/>
      <c r="D1839" s="185"/>
      <c r="E1839" s="185"/>
      <c r="F1839" s="185"/>
      <c r="G1839" s="185"/>
      <c r="H1839" s="185"/>
      <c r="I1839" s="14"/>
      <c r="J1839" s="14"/>
      <c r="K1839" s="14"/>
    </row>
    <row r="1840" spans="2:13" x14ac:dyDescent="0.25">
      <c r="B1840" s="1" t="s">
        <v>2851</v>
      </c>
      <c r="C1840" s="283" t="s">
        <v>2218</v>
      </c>
      <c r="D1840" s="283"/>
      <c r="E1840" s="283" t="s">
        <v>654</v>
      </c>
      <c r="F1840" s="283"/>
      <c r="G1840" s="283" t="s">
        <v>1596</v>
      </c>
      <c r="H1840" s="283"/>
      <c r="I1840" s="14"/>
      <c r="J1840" s="14"/>
    </row>
    <row r="1841" spans="2:13" x14ac:dyDescent="0.25">
      <c r="B1841" s="1"/>
      <c r="C1841" s="195"/>
      <c r="D1841" s="195"/>
      <c r="E1841" s="195"/>
      <c r="F1841" s="195"/>
      <c r="G1841" s="195"/>
      <c r="H1841" s="195"/>
      <c r="I1841" s="14"/>
      <c r="J1841" s="14"/>
    </row>
    <row r="1842" spans="2:13" x14ac:dyDescent="0.25">
      <c r="B1842" s="11" t="s">
        <v>2852</v>
      </c>
      <c r="C1842" s="230" t="s">
        <v>1156</v>
      </c>
      <c r="D1842" s="230"/>
      <c r="E1842" s="230" t="s">
        <v>1157</v>
      </c>
      <c r="F1842" s="230"/>
      <c r="G1842" s="230" t="s">
        <v>1158</v>
      </c>
      <c r="H1842" s="230"/>
      <c r="I1842" s="14"/>
      <c r="J1842" s="14"/>
      <c r="K1842" s="14"/>
    </row>
    <row r="1843" spans="2:13" ht="15.75" thickBot="1" x14ac:dyDescent="0.3">
      <c r="B1843" s="11"/>
      <c r="C1843" s="185"/>
      <c r="D1843" s="185"/>
      <c r="E1843" s="185"/>
      <c r="F1843" s="185"/>
      <c r="G1843" s="185"/>
      <c r="H1843" s="185"/>
      <c r="I1843" s="14"/>
      <c r="J1843" s="14"/>
      <c r="K1843" s="14"/>
    </row>
    <row r="1844" spans="2:13" x14ac:dyDescent="0.25">
      <c r="B1844" s="274" t="s">
        <v>401</v>
      </c>
      <c r="C1844" s="275"/>
      <c r="D1844" s="275"/>
      <c r="E1844" s="275"/>
      <c r="F1844" s="275"/>
      <c r="G1844" s="275"/>
      <c r="H1844" s="275"/>
      <c r="I1844" s="275"/>
      <c r="J1844" s="275"/>
      <c r="K1844" s="275"/>
      <c r="L1844" s="275"/>
      <c r="M1844" s="276"/>
    </row>
    <row r="1845" spans="2:13" x14ac:dyDescent="0.25">
      <c r="B1845" s="3" t="s">
        <v>402</v>
      </c>
      <c r="C1845" s="232" t="s">
        <v>403</v>
      </c>
      <c r="D1845" s="232"/>
      <c r="E1845" s="232" t="s">
        <v>467</v>
      </c>
      <c r="F1845" s="232"/>
      <c r="G1845" s="232" t="s">
        <v>405</v>
      </c>
      <c r="H1845" s="232"/>
      <c r="I1845" s="234" t="s">
        <v>406</v>
      </c>
      <c r="J1845" s="277"/>
      <c r="K1845" s="234" t="s">
        <v>468</v>
      </c>
      <c r="L1845" s="235"/>
      <c r="M1845" s="236"/>
    </row>
    <row r="1846" spans="2:13" ht="15.75" thickBot="1" x14ac:dyDescent="0.3">
      <c r="B1846" s="5">
        <v>2</v>
      </c>
      <c r="C1846" s="237">
        <v>2</v>
      </c>
      <c r="D1846" s="238"/>
      <c r="E1846" s="239"/>
      <c r="F1846" s="238"/>
      <c r="G1846" s="240"/>
      <c r="H1846" s="240"/>
      <c r="I1846" s="242"/>
      <c r="J1846" s="278"/>
      <c r="K1846" s="242"/>
      <c r="L1846" s="243"/>
      <c r="M1846" s="244"/>
    </row>
    <row r="1847" spans="2:13" ht="15.75" thickBot="1" x14ac:dyDescent="0.3">
      <c r="B1847" s="1"/>
      <c r="C1847" s="1"/>
      <c r="D1847" s="1"/>
      <c r="E1847" s="1"/>
      <c r="F1847" s="1"/>
      <c r="G1847" s="1"/>
      <c r="H1847" s="1"/>
    </row>
    <row r="1848" spans="2:13" x14ac:dyDescent="0.25">
      <c r="B1848" s="274" t="s">
        <v>408</v>
      </c>
      <c r="C1848" s="275"/>
      <c r="D1848" s="275"/>
      <c r="E1848" s="275"/>
      <c r="F1848" s="275"/>
      <c r="G1848" s="275"/>
      <c r="H1848" s="275"/>
      <c r="I1848" s="275"/>
      <c r="J1848" s="275"/>
      <c r="K1848" s="275"/>
      <c r="L1848" s="275"/>
      <c r="M1848" s="276"/>
    </row>
    <row r="1849" spans="2:13" x14ac:dyDescent="0.25">
      <c r="B1849" s="3" t="s">
        <v>2853</v>
      </c>
      <c r="C1849" s="232" t="s">
        <v>2854</v>
      </c>
      <c r="D1849" s="232"/>
      <c r="E1849" s="268" t="s">
        <v>2041</v>
      </c>
      <c r="F1849" s="268"/>
      <c r="G1849" s="233" t="s">
        <v>2855</v>
      </c>
      <c r="H1849" s="233"/>
      <c r="I1849" s="234" t="s">
        <v>2856</v>
      </c>
      <c r="J1849" s="277"/>
      <c r="K1849" s="232" t="s">
        <v>2857</v>
      </c>
      <c r="L1849" s="232"/>
      <c r="M1849" s="269"/>
    </row>
    <row r="1850" spans="2:13" ht="15.75" thickBot="1" x14ac:dyDescent="0.3">
      <c r="B1850" s="5" t="s">
        <v>2858</v>
      </c>
      <c r="C1850" s="240" t="s">
        <v>2859</v>
      </c>
      <c r="D1850" s="240"/>
      <c r="E1850" s="240" t="s">
        <v>2860</v>
      </c>
      <c r="F1850" s="240"/>
      <c r="G1850" s="240" t="s">
        <v>714</v>
      </c>
      <c r="H1850" s="240"/>
      <c r="I1850" s="281" t="s">
        <v>2861</v>
      </c>
      <c r="J1850" s="282"/>
      <c r="K1850" s="240" t="s">
        <v>2824</v>
      </c>
      <c r="L1850" s="240"/>
      <c r="M1850" s="267"/>
    </row>
    <row r="1852" spans="2:13" ht="23.25" x14ac:dyDescent="0.35">
      <c r="B1852" s="29" t="s">
        <v>334</v>
      </c>
      <c r="C1852" s="229" t="s">
        <v>140</v>
      </c>
      <c r="D1852" s="229"/>
      <c r="E1852" s="229"/>
      <c r="F1852" s="229"/>
      <c r="G1852" s="229"/>
      <c r="H1852" s="229"/>
      <c r="I1852" s="229"/>
      <c r="J1852" s="229"/>
    </row>
    <row r="1853" spans="2:13" ht="18.75" x14ac:dyDescent="0.3">
      <c r="B1853" s="12" t="s">
        <v>335</v>
      </c>
      <c r="C1853" s="195" t="s">
        <v>336</v>
      </c>
      <c r="D1853" s="228" t="s">
        <v>427</v>
      </c>
      <c r="E1853" s="228"/>
      <c r="F1853" s="1" t="s">
        <v>2862</v>
      </c>
      <c r="L1853" s="12" t="s">
        <v>339</v>
      </c>
      <c r="M1853" s="6" t="s">
        <v>139</v>
      </c>
    </row>
    <row r="1855" spans="2:13" x14ac:dyDescent="0.25">
      <c r="B1855" s="2" t="s">
        <v>341</v>
      </c>
      <c r="C1855" s="250" t="s">
        <v>342</v>
      </c>
      <c r="D1855" s="250"/>
      <c r="E1855" s="250" t="s">
        <v>343</v>
      </c>
      <c r="F1855" s="250"/>
      <c r="G1855" s="250" t="s">
        <v>954</v>
      </c>
      <c r="H1855" s="250"/>
      <c r="I1855" s="228" t="s">
        <v>345</v>
      </c>
      <c r="J1855" s="228"/>
      <c r="K1855" s="228"/>
      <c r="L1855" s="228"/>
      <c r="M1855" s="228"/>
    </row>
    <row r="1856" spans="2:13" x14ac:dyDescent="0.25">
      <c r="C1856" s="251"/>
      <c r="D1856" s="251"/>
      <c r="E1856" s="251"/>
      <c r="F1856" s="251"/>
      <c r="G1856" s="251"/>
      <c r="H1856" s="251"/>
      <c r="I1856" s="7"/>
      <c r="J1856" s="7"/>
      <c r="K1856" s="7"/>
      <c r="L1856" s="7"/>
      <c r="M1856" s="7"/>
    </row>
    <row r="1857" spans="2:13" x14ac:dyDescent="0.25">
      <c r="B1857" s="11" t="s">
        <v>1207</v>
      </c>
      <c r="C1857" s="252" t="s">
        <v>2863</v>
      </c>
      <c r="D1857" s="252"/>
      <c r="E1857" s="252" t="s">
        <v>1194</v>
      </c>
      <c r="F1857" s="252"/>
      <c r="G1857" s="252" t="s">
        <v>1708</v>
      </c>
      <c r="H1857" s="252"/>
      <c r="I1857" s="14" t="s">
        <v>2864</v>
      </c>
      <c r="J1857" s="7"/>
      <c r="K1857" s="7"/>
      <c r="L1857" s="7"/>
      <c r="M1857" s="7"/>
    </row>
    <row r="1858" spans="2:13" x14ac:dyDescent="0.25">
      <c r="B1858" s="11"/>
      <c r="C1858" s="188"/>
      <c r="D1858" s="188"/>
      <c r="E1858" s="252"/>
      <c r="F1858" s="252"/>
      <c r="G1858" s="252"/>
      <c r="H1858" s="252"/>
      <c r="I1858" s="14" t="s">
        <v>2865</v>
      </c>
      <c r="J1858" s="7"/>
      <c r="K1858" s="7"/>
      <c r="L1858" s="7"/>
      <c r="M1858" s="7"/>
    </row>
    <row r="1859" spans="2:13" x14ac:dyDescent="0.25">
      <c r="B1859" s="1" t="s">
        <v>397</v>
      </c>
      <c r="C1859" s="253" t="s">
        <v>399</v>
      </c>
      <c r="D1859" s="253"/>
      <c r="E1859" s="253" t="s">
        <v>400</v>
      </c>
      <c r="F1859" s="253"/>
      <c r="G1859" s="253" t="s">
        <v>1019</v>
      </c>
      <c r="H1859" s="253"/>
      <c r="I1859" s="14" t="s">
        <v>2866</v>
      </c>
      <c r="J1859" s="7"/>
      <c r="K1859" s="7"/>
      <c r="L1859" s="7"/>
      <c r="M1859" s="7"/>
    </row>
    <row r="1860" spans="2:13" x14ac:dyDescent="0.25">
      <c r="B1860" s="1"/>
      <c r="C1860" s="189"/>
      <c r="D1860" s="189"/>
      <c r="E1860" s="253"/>
      <c r="F1860" s="253"/>
      <c r="G1860" s="253"/>
      <c r="H1860" s="253"/>
      <c r="I1860" s="14" t="s">
        <v>2867</v>
      </c>
      <c r="J1860" s="7"/>
      <c r="K1860" s="7"/>
      <c r="L1860" s="7"/>
      <c r="M1860" s="7"/>
    </row>
    <row r="1861" spans="2:13" x14ac:dyDescent="0.25">
      <c r="B1861" s="11" t="s">
        <v>2868</v>
      </c>
      <c r="C1861" s="252" t="s">
        <v>1138</v>
      </c>
      <c r="D1861" s="252"/>
      <c r="E1861" s="252" t="s">
        <v>2869</v>
      </c>
      <c r="F1861" s="252"/>
      <c r="G1861" s="252" t="s">
        <v>1274</v>
      </c>
      <c r="H1861" s="252"/>
      <c r="I1861" s="14" t="s">
        <v>2870</v>
      </c>
      <c r="J1861" s="7"/>
      <c r="K1861" s="7"/>
      <c r="L1861" s="7"/>
      <c r="M1861" s="7"/>
    </row>
    <row r="1862" spans="2:13" x14ac:dyDescent="0.25">
      <c r="B1862" s="11"/>
      <c r="C1862" s="188"/>
      <c r="D1862" s="188"/>
      <c r="E1862" s="252"/>
      <c r="F1862" s="252"/>
      <c r="G1862" s="252"/>
      <c r="H1862" s="252"/>
      <c r="I1862" s="14" t="s">
        <v>2871</v>
      </c>
      <c r="J1862" s="7"/>
      <c r="K1862" s="7"/>
      <c r="L1862" s="7"/>
      <c r="M1862" s="7"/>
    </row>
    <row r="1863" spans="2:13" x14ac:dyDescent="0.25">
      <c r="B1863" s="1" t="s">
        <v>2872</v>
      </c>
      <c r="C1863" s="253" t="s">
        <v>2873</v>
      </c>
      <c r="D1863" s="253"/>
      <c r="E1863" s="253" t="s">
        <v>1024</v>
      </c>
      <c r="F1863" s="253"/>
      <c r="G1863" s="253" t="s">
        <v>1042</v>
      </c>
      <c r="H1863" s="253"/>
      <c r="I1863" s="14" t="s">
        <v>2874</v>
      </c>
      <c r="J1863" s="7"/>
      <c r="K1863" s="7"/>
      <c r="L1863" s="7"/>
      <c r="M1863" s="7"/>
    </row>
    <row r="1864" spans="2:13" x14ac:dyDescent="0.25">
      <c r="B1864" s="1" t="s">
        <v>2875</v>
      </c>
      <c r="C1864" s="253" t="s">
        <v>2876</v>
      </c>
      <c r="D1864" s="253"/>
      <c r="E1864" s="253" t="s">
        <v>2154</v>
      </c>
      <c r="F1864" s="253"/>
      <c r="G1864" s="253" t="s">
        <v>2877</v>
      </c>
      <c r="H1864" s="253"/>
      <c r="I1864" s="14" t="s">
        <v>2878</v>
      </c>
      <c r="J1864" s="7"/>
      <c r="K1864" s="7"/>
      <c r="L1864" s="7"/>
      <c r="M1864" s="7"/>
    </row>
    <row r="1865" spans="2:13" x14ac:dyDescent="0.25">
      <c r="B1865" s="11" t="s">
        <v>2879</v>
      </c>
      <c r="C1865" s="252" t="s">
        <v>2880</v>
      </c>
      <c r="D1865" s="252"/>
      <c r="E1865" s="252" t="s">
        <v>2613</v>
      </c>
      <c r="F1865" s="252"/>
      <c r="G1865" s="252" t="s">
        <v>2881</v>
      </c>
      <c r="H1865" s="252"/>
      <c r="I1865" s="14" t="s">
        <v>2882</v>
      </c>
      <c r="J1865" s="14"/>
      <c r="K1865" s="7"/>
      <c r="L1865" s="7"/>
      <c r="M1865" s="7"/>
    </row>
    <row r="1866" spans="2:13" x14ac:dyDescent="0.25">
      <c r="B1866" s="11"/>
      <c r="C1866" s="188"/>
      <c r="D1866" s="188"/>
      <c r="E1866" s="252"/>
      <c r="F1866" s="252"/>
      <c r="G1866" s="252"/>
      <c r="H1866" s="252"/>
      <c r="I1866" s="14" t="s">
        <v>2883</v>
      </c>
      <c r="J1866" s="7"/>
      <c r="K1866" s="7"/>
      <c r="L1866" s="7"/>
      <c r="M1866" s="7"/>
    </row>
    <row r="1867" spans="2:13" x14ac:dyDescent="0.25">
      <c r="B1867" s="1" t="s">
        <v>1848</v>
      </c>
      <c r="C1867" s="253" t="s">
        <v>2884</v>
      </c>
      <c r="D1867" s="253"/>
      <c r="E1867" s="253" t="s">
        <v>1497</v>
      </c>
      <c r="F1867" s="253"/>
      <c r="G1867" s="253" t="s">
        <v>2885</v>
      </c>
      <c r="H1867" s="253"/>
      <c r="I1867" s="14" t="s">
        <v>1830</v>
      </c>
      <c r="J1867" s="14" t="s">
        <v>2886</v>
      </c>
      <c r="K1867" s="7"/>
      <c r="L1867" s="7"/>
      <c r="M1867" s="7"/>
    </row>
    <row r="1868" spans="2:13" x14ac:dyDescent="0.25">
      <c r="B1868" s="1"/>
      <c r="C1868" s="189"/>
      <c r="D1868" s="189"/>
      <c r="E1868" s="253"/>
      <c r="F1868" s="253"/>
      <c r="G1868" s="253"/>
      <c r="H1868" s="253"/>
      <c r="I1868" s="14"/>
      <c r="J1868" s="14" t="s">
        <v>2887</v>
      </c>
      <c r="K1868" s="7"/>
      <c r="L1868" s="7"/>
      <c r="M1868" s="7"/>
    </row>
    <row r="1869" spans="2:13" x14ac:dyDescent="0.25">
      <c r="B1869" s="11" t="s">
        <v>1743</v>
      </c>
      <c r="C1869" s="265" t="s">
        <v>2888</v>
      </c>
      <c r="D1869" s="265"/>
      <c r="E1869" s="252" t="s">
        <v>2889</v>
      </c>
      <c r="F1869" s="252"/>
      <c r="G1869" s="252" t="s">
        <v>2890</v>
      </c>
      <c r="H1869" s="252"/>
      <c r="I1869" s="14" t="s">
        <v>2891</v>
      </c>
      <c r="J1869" s="14"/>
      <c r="K1869" s="7"/>
      <c r="L1869" s="7"/>
      <c r="M1869" s="7"/>
    </row>
    <row r="1870" spans="2:13" x14ac:dyDescent="0.25">
      <c r="B1870" s="11" t="s">
        <v>2892</v>
      </c>
      <c r="C1870" s="188"/>
      <c r="D1870" s="188"/>
      <c r="E1870" s="252"/>
      <c r="F1870" s="252"/>
      <c r="G1870" s="252"/>
      <c r="H1870" s="252"/>
      <c r="I1870" s="14" t="s">
        <v>2893</v>
      </c>
      <c r="J1870" s="14"/>
    </row>
    <row r="1871" spans="2:13" x14ac:dyDescent="0.25">
      <c r="B1871" s="1" t="s">
        <v>2894</v>
      </c>
      <c r="C1871" s="253" t="s">
        <v>1915</v>
      </c>
      <c r="D1871" s="253"/>
      <c r="E1871" s="253" t="s">
        <v>1892</v>
      </c>
      <c r="F1871" s="253"/>
      <c r="G1871" s="253" t="s">
        <v>2175</v>
      </c>
      <c r="H1871" s="253"/>
      <c r="I1871" s="14" t="s">
        <v>2895</v>
      </c>
      <c r="J1871" s="14"/>
    </row>
    <row r="1872" spans="2:13" x14ac:dyDescent="0.25">
      <c r="B1872" s="1" t="s">
        <v>1700</v>
      </c>
      <c r="C1872" s="253" t="s">
        <v>2896</v>
      </c>
      <c r="D1872" s="253"/>
      <c r="E1872" s="253" t="s">
        <v>374</v>
      </c>
      <c r="F1872" s="253"/>
      <c r="G1872" s="253" t="s">
        <v>2587</v>
      </c>
      <c r="H1872" s="253"/>
      <c r="I1872" s="14" t="s">
        <v>2897</v>
      </c>
      <c r="J1872" s="14"/>
    </row>
    <row r="1873" spans="2:10" x14ac:dyDescent="0.25">
      <c r="B1873" s="11" t="s">
        <v>2898</v>
      </c>
      <c r="C1873" s="252" t="s">
        <v>1833</v>
      </c>
      <c r="D1873" s="252"/>
      <c r="E1873" s="252" t="s">
        <v>1834</v>
      </c>
      <c r="F1873" s="252"/>
      <c r="G1873" s="252" t="s">
        <v>1835</v>
      </c>
      <c r="H1873" s="252"/>
      <c r="I1873" s="14" t="s">
        <v>612</v>
      </c>
      <c r="J1873" s="14"/>
    </row>
    <row r="1874" spans="2:10" x14ac:dyDescent="0.25">
      <c r="B1874" s="11"/>
      <c r="C1874" s="188"/>
      <c r="D1874" s="188"/>
      <c r="E1874" s="252"/>
      <c r="F1874" s="252"/>
      <c r="G1874" s="252"/>
      <c r="H1874" s="252"/>
      <c r="I1874" s="14" t="s">
        <v>2899</v>
      </c>
      <c r="J1874" s="14"/>
    </row>
    <row r="1875" spans="2:10" x14ac:dyDescent="0.25">
      <c r="B1875" s="1" t="s">
        <v>2426</v>
      </c>
      <c r="C1875" s="253" t="s">
        <v>1822</v>
      </c>
      <c r="D1875" s="253"/>
      <c r="E1875" s="253" t="s">
        <v>1748</v>
      </c>
      <c r="F1875" s="253"/>
      <c r="G1875" s="253" t="s">
        <v>2135</v>
      </c>
      <c r="H1875" s="253"/>
      <c r="I1875" s="14" t="s">
        <v>2900</v>
      </c>
      <c r="J1875" s="14"/>
    </row>
    <row r="1876" spans="2:10" x14ac:dyDescent="0.25">
      <c r="B1876" s="1"/>
      <c r="C1876" s="189"/>
      <c r="D1876" s="189"/>
      <c r="E1876" s="253"/>
      <c r="F1876" s="253"/>
      <c r="G1876" s="253"/>
      <c r="H1876" s="253"/>
      <c r="I1876" s="14" t="s">
        <v>2901</v>
      </c>
      <c r="J1876" s="14"/>
    </row>
    <row r="1877" spans="2:10" x14ac:dyDescent="0.25">
      <c r="B1877" s="11" t="s">
        <v>1046</v>
      </c>
      <c r="C1877" s="252" t="s">
        <v>882</v>
      </c>
      <c r="D1877" s="252"/>
      <c r="E1877" s="252" t="s">
        <v>1131</v>
      </c>
      <c r="F1877" s="252"/>
      <c r="G1877" s="252" t="s">
        <v>1026</v>
      </c>
      <c r="H1877" s="252"/>
    </row>
    <row r="1878" spans="2:10" x14ac:dyDescent="0.25">
      <c r="B1878" s="11"/>
      <c r="C1878" s="13"/>
      <c r="D1878" s="188"/>
      <c r="E1878" s="188"/>
      <c r="F1878" s="188"/>
      <c r="G1878" s="188"/>
      <c r="H1878" s="188"/>
    </row>
    <row r="1879" spans="2:10" x14ac:dyDescent="0.25">
      <c r="B1879" s="1" t="s">
        <v>889</v>
      </c>
      <c r="C1879" s="253" t="s">
        <v>882</v>
      </c>
      <c r="D1879" s="253"/>
      <c r="E1879" s="253" t="s">
        <v>1131</v>
      </c>
      <c r="F1879" s="253"/>
      <c r="G1879" s="253" t="s">
        <v>1026</v>
      </c>
      <c r="H1879" s="253"/>
    </row>
    <row r="1880" spans="2:10" x14ac:dyDescent="0.25">
      <c r="B1880" s="1"/>
      <c r="C1880" s="189"/>
      <c r="D1880" s="189"/>
      <c r="E1880" s="189"/>
      <c r="F1880" s="189"/>
      <c r="G1880" s="189"/>
      <c r="H1880" s="189"/>
    </row>
    <row r="1881" spans="2:10" x14ac:dyDescent="0.25">
      <c r="B1881" s="11" t="s">
        <v>2902</v>
      </c>
      <c r="C1881" s="252" t="s">
        <v>1127</v>
      </c>
      <c r="D1881" s="252"/>
      <c r="E1881" s="252" t="s">
        <v>1842</v>
      </c>
      <c r="F1881" s="252"/>
      <c r="G1881" s="252" t="s">
        <v>1717</v>
      </c>
      <c r="H1881" s="252"/>
    </row>
    <row r="1882" spans="2:10" x14ac:dyDescent="0.25">
      <c r="B1882" s="11"/>
      <c r="C1882" s="188"/>
      <c r="D1882" s="188"/>
      <c r="E1882" s="188"/>
      <c r="F1882" s="188"/>
      <c r="G1882" s="188"/>
      <c r="H1882" s="188"/>
    </row>
    <row r="1883" spans="2:10" x14ac:dyDescent="0.25">
      <c r="B1883" s="1" t="s">
        <v>2903</v>
      </c>
      <c r="C1883" s="253" t="s">
        <v>1127</v>
      </c>
      <c r="D1883" s="253"/>
      <c r="E1883" s="253" t="s">
        <v>1842</v>
      </c>
      <c r="F1883" s="253"/>
      <c r="G1883" s="253" t="s">
        <v>1717</v>
      </c>
      <c r="H1883" s="253"/>
    </row>
    <row r="1884" spans="2:10" x14ac:dyDescent="0.25">
      <c r="B1884" s="1"/>
      <c r="C1884" s="189"/>
      <c r="D1884" s="189"/>
      <c r="E1884" s="189"/>
      <c r="F1884" s="189"/>
      <c r="G1884" s="189"/>
      <c r="H1884" s="189"/>
    </row>
    <row r="1885" spans="2:10" x14ac:dyDescent="0.25">
      <c r="B1885" s="11" t="s">
        <v>2904</v>
      </c>
      <c r="C1885" s="252" t="s">
        <v>1296</v>
      </c>
      <c r="D1885" s="252"/>
      <c r="E1885" s="252" t="s">
        <v>2033</v>
      </c>
      <c r="F1885" s="252"/>
      <c r="G1885" s="252" t="s">
        <v>1127</v>
      </c>
      <c r="H1885" s="252"/>
    </row>
    <row r="1886" spans="2:10" x14ac:dyDescent="0.25">
      <c r="B1886" s="11"/>
      <c r="C1886" s="188"/>
      <c r="D1886" s="188"/>
      <c r="E1886" s="188"/>
      <c r="F1886" s="188"/>
      <c r="G1886" s="188"/>
      <c r="H1886" s="188"/>
    </row>
    <row r="1887" spans="2:10" x14ac:dyDescent="0.25">
      <c r="B1887" s="1" t="s">
        <v>1959</v>
      </c>
      <c r="C1887" s="253" t="s">
        <v>1296</v>
      </c>
      <c r="D1887" s="253"/>
      <c r="E1887" s="253" t="s">
        <v>2033</v>
      </c>
      <c r="F1887" s="253"/>
      <c r="G1887" s="253" t="s">
        <v>1127</v>
      </c>
      <c r="H1887" s="253"/>
    </row>
    <row r="1888" spans="2:10" x14ac:dyDescent="0.25">
      <c r="B1888" s="1"/>
      <c r="C1888" s="189"/>
      <c r="D1888" s="189"/>
      <c r="E1888" s="189"/>
      <c r="F1888" s="189"/>
      <c r="G1888" s="189"/>
      <c r="H1888" s="189"/>
    </row>
    <row r="1889" spans="2:15" x14ac:dyDescent="0.25">
      <c r="B1889" s="11" t="s">
        <v>518</v>
      </c>
      <c r="C1889" s="252" t="s">
        <v>1717</v>
      </c>
      <c r="D1889" s="252"/>
      <c r="E1889" s="252" t="s">
        <v>1718</v>
      </c>
      <c r="F1889" s="252"/>
      <c r="G1889" s="252" t="s">
        <v>1960</v>
      </c>
      <c r="H1889" s="252"/>
    </row>
    <row r="1890" spans="2:15" ht="15.75" thickBot="1" x14ac:dyDescent="0.3">
      <c r="B1890" s="11"/>
      <c r="C1890" s="289"/>
      <c r="D1890" s="289"/>
      <c r="E1890" s="289"/>
      <c r="F1890" s="289"/>
      <c r="G1890" s="289"/>
      <c r="H1890" s="289"/>
    </row>
    <row r="1891" spans="2:15" x14ac:dyDescent="0.25">
      <c r="B1891" s="274" t="s">
        <v>401</v>
      </c>
      <c r="C1891" s="275"/>
      <c r="D1891" s="275"/>
      <c r="E1891" s="275"/>
      <c r="F1891" s="275"/>
      <c r="G1891" s="275"/>
      <c r="H1891" s="275"/>
      <c r="I1891" s="275"/>
      <c r="J1891" s="275"/>
      <c r="K1891" s="275"/>
      <c r="L1891" s="275"/>
      <c r="M1891" s="276"/>
    </row>
    <row r="1892" spans="2:15" x14ac:dyDescent="0.25">
      <c r="B1892" s="3" t="s">
        <v>402</v>
      </c>
      <c r="C1892" s="232" t="s">
        <v>403</v>
      </c>
      <c r="D1892" s="232"/>
      <c r="E1892" s="232" t="s">
        <v>467</v>
      </c>
      <c r="F1892" s="232"/>
      <c r="G1892" s="232" t="s">
        <v>405</v>
      </c>
      <c r="H1892" s="232"/>
      <c r="I1892" s="234" t="s">
        <v>406</v>
      </c>
      <c r="J1892" s="277"/>
      <c r="K1892" s="234" t="s">
        <v>468</v>
      </c>
      <c r="L1892" s="235"/>
      <c r="M1892" s="236"/>
    </row>
    <row r="1893" spans="2:15" ht="15.75" thickBot="1" x14ac:dyDescent="0.3">
      <c r="B1893" s="5">
        <v>2.5</v>
      </c>
      <c r="C1893" s="237">
        <v>0.5</v>
      </c>
      <c r="D1893" s="238"/>
      <c r="E1893" s="239"/>
      <c r="F1893" s="238"/>
      <c r="G1893" s="240"/>
      <c r="H1893" s="240"/>
      <c r="I1893" s="242"/>
      <c r="J1893" s="278"/>
      <c r="K1893" s="242"/>
      <c r="L1893" s="243"/>
      <c r="M1893" s="244"/>
    </row>
    <row r="1894" spans="2:15" ht="15.75" thickBot="1" x14ac:dyDescent="0.3">
      <c r="B1894" s="1"/>
      <c r="C1894" s="1"/>
      <c r="D1894" s="1"/>
      <c r="E1894" s="1"/>
      <c r="F1894" s="1"/>
      <c r="G1894" s="1"/>
      <c r="H1894" s="1"/>
    </row>
    <row r="1895" spans="2:15" x14ac:dyDescent="0.25">
      <c r="B1895" s="274" t="s">
        <v>408</v>
      </c>
      <c r="C1895" s="275"/>
      <c r="D1895" s="275"/>
      <c r="E1895" s="275"/>
      <c r="F1895" s="275"/>
      <c r="G1895" s="275"/>
      <c r="H1895" s="275"/>
      <c r="I1895" s="275"/>
      <c r="J1895" s="275"/>
      <c r="K1895" s="275"/>
      <c r="L1895" s="275"/>
      <c r="M1895" s="276"/>
    </row>
    <row r="1896" spans="2:15" x14ac:dyDescent="0.25">
      <c r="B1896" s="3" t="s">
        <v>2905</v>
      </c>
      <c r="C1896" s="232" t="s">
        <v>2906</v>
      </c>
      <c r="D1896" s="232"/>
      <c r="E1896" s="233" t="s">
        <v>2907</v>
      </c>
      <c r="F1896" s="233"/>
      <c r="G1896" s="233" t="s">
        <v>749</v>
      </c>
      <c r="H1896" s="233"/>
      <c r="I1896" s="279" t="s">
        <v>2908</v>
      </c>
      <c r="J1896" s="280"/>
      <c r="K1896" s="232" t="s">
        <v>2909</v>
      </c>
      <c r="L1896" s="232"/>
      <c r="M1896" s="269"/>
    </row>
    <row r="1897" spans="2:15" ht="15.75" thickBot="1" x14ac:dyDescent="0.3">
      <c r="B1897" s="5" t="s">
        <v>640</v>
      </c>
      <c r="C1897" s="240" t="s">
        <v>2910</v>
      </c>
      <c r="D1897" s="240"/>
      <c r="E1897" s="266" t="s">
        <v>2911</v>
      </c>
      <c r="F1897" s="266"/>
      <c r="G1897" s="240" t="s">
        <v>2912</v>
      </c>
      <c r="H1897" s="240"/>
      <c r="I1897" s="281" t="s">
        <v>2913</v>
      </c>
      <c r="J1897" s="282"/>
      <c r="K1897" s="240" t="s">
        <v>2914</v>
      </c>
      <c r="L1897" s="240"/>
      <c r="M1897" s="267"/>
    </row>
    <row r="1899" spans="2:15" ht="23.25" x14ac:dyDescent="0.35">
      <c r="B1899" s="29" t="s">
        <v>334</v>
      </c>
      <c r="C1899" s="229" t="s">
        <v>182</v>
      </c>
      <c r="D1899" s="229"/>
      <c r="E1899" s="229"/>
      <c r="F1899" s="229"/>
      <c r="G1899" s="229"/>
      <c r="H1899" s="229"/>
      <c r="I1899" s="229"/>
      <c r="J1899" s="229"/>
    </row>
    <row r="1900" spans="2:15" ht="18.75" x14ac:dyDescent="0.3">
      <c r="B1900" s="12" t="s">
        <v>335</v>
      </c>
      <c r="C1900" s="195" t="s">
        <v>336</v>
      </c>
      <c r="D1900" s="228" t="s">
        <v>427</v>
      </c>
      <c r="E1900" s="228"/>
      <c r="F1900" s="14" t="s">
        <v>2915</v>
      </c>
      <c r="L1900" s="12" t="s">
        <v>339</v>
      </c>
      <c r="M1900" s="6" t="s">
        <v>181</v>
      </c>
      <c r="O1900" s="101" t="s">
        <v>481</v>
      </c>
    </row>
    <row r="1902" spans="2:15" x14ac:dyDescent="0.25">
      <c r="B1902" s="2" t="s">
        <v>341</v>
      </c>
      <c r="C1902" s="250" t="s">
        <v>342</v>
      </c>
      <c r="D1902" s="250"/>
      <c r="E1902" s="250" t="s">
        <v>343</v>
      </c>
      <c r="F1902" s="250"/>
      <c r="G1902" s="250" t="s">
        <v>344</v>
      </c>
      <c r="H1902" s="250"/>
      <c r="I1902" s="228" t="s">
        <v>345</v>
      </c>
      <c r="J1902" s="228"/>
      <c r="K1902" s="228"/>
      <c r="L1902" s="228"/>
      <c r="M1902" s="228"/>
      <c r="O1902" s="101" t="s">
        <v>732</v>
      </c>
    </row>
    <row r="1903" spans="2:15" x14ac:dyDescent="0.25">
      <c r="C1903" s="251"/>
      <c r="D1903" s="251"/>
      <c r="E1903" s="251"/>
      <c r="F1903" s="251"/>
      <c r="G1903" s="251"/>
      <c r="H1903" s="251"/>
      <c r="I1903" s="7"/>
      <c r="J1903" s="7"/>
      <c r="K1903" s="7"/>
      <c r="L1903" s="7"/>
      <c r="M1903" s="7"/>
    </row>
    <row r="1904" spans="2:15" x14ac:dyDescent="0.25">
      <c r="B1904" s="11" t="s">
        <v>1743</v>
      </c>
      <c r="C1904" s="252" t="s">
        <v>2916</v>
      </c>
      <c r="D1904" s="252"/>
      <c r="E1904" s="252" t="s">
        <v>2917</v>
      </c>
      <c r="F1904" s="252"/>
      <c r="G1904" s="252" t="s">
        <v>2918</v>
      </c>
      <c r="H1904" s="252"/>
      <c r="I1904" s="14" t="s">
        <v>2919</v>
      </c>
      <c r="J1904" s="7"/>
      <c r="K1904" s="7"/>
      <c r="L1904" s="7"/>
      <c r="M1904" s="7"/>
      <c r="O1904" s="98" t="e">
        <f>SUM(29.75*#REF!)/175</f>
        <v>#REF!</v>
      </c>
    </row>
    <row r="1905" spans="2:15" x14ac:dyDescent="0.25">
      <c r="B1905" s="11" t="s">
        <v>2414</v>
      </c>
      <c r="C1905" s="188"/>
      <c r="D1905" s="188"/>
      <c r="E1905" s="252"/>
      <c r="F1905" s="252"/>
      <c r="G1905" s="252"/>
      <c r="H1905" s="252"/>
      <c r="I1905" s="14" t="s">
        <v>2920</v>
      </c>
      <c r="J1905" s="7"/>
      <c r="K1905" s="7"/>
      <c r="L1905" s="7"/>
      <c r="M1905" s="7"/>
    </row>
    <row r="1906" spans="2:15" x14ac:dyDescent="0.25">
      <c r="B1906" s="1" t="s">
        <v>2416</v>
      </c>
      <c r="C1906" s="253" t="s">
        <v>1021</v>
      </c>
      <c r="D1906" s="253"/>
      <c r="E1906" s="253" t="s">
        <v>2921</v>
      </c>
      <c r="F1906" s="253"/>
      <c r="G1906" s="253" t="s">
        <v>2922</v>
      </c>
      <c r="H1906" s="253"/>
      <c r="I1906" s="14" t="s">
        <v>2923</v>
      </c>
      <c r="J1906" s="7"/>
      <c r="K1906" s="7"/>
      <c r="L1906" s="7"/>
      <c r="M1906" s="7"/>
      <c r="O1906" s="98" t="e">
        <f>SUM(8.5*#REF!)/175</f>
        <v>#REF!</v>
      </c>
    </row>
    <row r="1907" spans="2:15" x14ac:dyDescent="0.25">
      <c r="B1907" s="1" t="s">
        <v>2420</v>
      </c>
      <c r="C1907" s="189"/>
      <c r="D1907" s="189"/>
      <c r="E1907" s="253"/>
      <c r="F1907" s="253"/>
      <c r="G1907" s="253"/>
      <c r="H1907" s="253"/>
      <c r="I1907" s="14" t="s">
        <v>2924</v>
      </c>
      <c r="J1907" s="7"/>
      <c r="K1907" s="7"/>
      <c r="L1907" s="7"/>
      <c r="M1907" s="7"/>
    </row>
    <row r="1908" spans="2:15" x14ac:dyDescent="0.25">
      <c r="B1908" s="11" t="s">
        <v>889</v>
      </c>
      <c r="C1908" s="252" t="s">
        <v>1102</v>
      </c>
      <c r="D1908" s="252"/>
      <c r="E1908" s="252" t="s">
        <v>2925</v>
      </c>
      <c r="F1908" s="252"/>
      <c r="G1908" s="252" t="s">
        <v>2926</v>
      </c>
      <c r="H1908" s="252"/>
      <c r="I1908" s="14" t="s">
        <v>2927</v>
      </c>
      <c r="J1908" s="7"/>
      <c r="K1908" s="7"/>
      <c r="L1908" s="7"/>
      <c r="M1908" s="7"/>
      <c r="O1908" s="98" t="e">
        <f>SUM(10*#REF!)/175</f>
        <v>#REF!</v>
      </c>
    </row>
    <row r="1909" spans="2:15" x14ac:dyDescent="0.25">
      <c r="B1909" s="11"/>
      <c r="C1909" s="188"/>
      <c r="D1909" s="188"/>
      <c r="E1909" s="252"/>
      <c r="F1909" s="252"/>
      <c r="G1909" s="252"/>
      <c r="H1909" s="252"/>
      <c r="I1909" s="14" t="s">
        <v>2928</v>
      </c>
      <c r="J1909" s="7"/>
      <c r="K1909" s="7"/>
      <c r="L1909" s="7"/>
      <c r="M1909" s="7"/>
    </row>
    <row r="1910" spans="2:15" x14ac:dyDescent="0.25">
      <c r="B1910" s="1" t="s">
        <v>1046</v>
      </c>
      <c r="C1910" s="253" t="s">
        <v>744</v>
      </c>
      <c r="D1910" s="253"/>
      <c r="E1910" s="253" t="s">
        <v>891</v>
      </c>
      <c r="F1910" s="253"/>
      <c r="G1910" s="253" t="s">
        <v>882</v>
      </c>
      <c r="H1910" s="253"/>
      <c r="I1910" s="14" t="s">
        <v>2929</v>
      </c>
      <c r="J1910" s="7"/>
      <c r="K1910" s="7"/>
      <c r="L1910" s="7"/>
      <c r="M1910" s="7"/>
      <c r="O1910" s="102" t="e">
        <f>SUM(2*#REF!)/175</f>
        <v>#REF!</v>
      </c>
    </row>
    <row r="1911" spans="2:15" x14ac:dyDescent="0.25">
      <c r="B1911" s="1"/>
      <c r="C1911" s="253"/>
      <c r="D1911" s="253"/>
      <c r="E1911" s="253"/>
      <c r="F1911" s="253"/>
      <c r="G1911" s="253"/>
      <c r="H1911" s="253"/>
      <c r="I1911" s="14" t="s">
        <v>2930</v>
      </c>
      <c r="J1911" s="7"/>
      <c r="K1911" s="7"/>
      <c r="L1911" s="7"/>
      <c r="M1911" s="7"/>
    </row>
    <row r="1912" spans="2:15" x14ac:dyDescent="0.25">
      <c r="B1912" s="11" t="s">
        <v>2931</v>
      </c>
      <c r="C1912" s="252" t="s">
        <v>2234</v>
      </c>
      <c r="D1912" s="252"/>
      <c r="E1912" s="252" t="s">
        <v>2235</v>
      </c>
      <c r="F1912" s="252"/>
      <c r="G1912" s="252" t="s">
        <v>2932</v>
      </c>
      <c r="H1912" s="252"/>
      <c r="I1912" s="14" t="s">
        <v>2933</v>
      </c>
      <c r="J1912" s="14"/>
      <c r="K1912" s="7"/>
      <c r="L1912" s="7"/>
      <c r="M1912" s="7"/>
      <c r="O1912" s="98" t="e">
        <f>SUM(48*#REF!)/175</f>
        <v>#REF!</v>
      </c>
    </row>
    <row r="1913" spans="2:15" x14ac:dyDescent="0.25">
      <c r="B1913" s="11"/>
      <c r="C1913" s="188"/>
      <c r="D1913" s="188"/>
      <c r="E1913" s="252"/>
      <c r="F1913" s="252"/>
      <c r="G1913" s="252"/>
      <c r="H1913" s="252"/>
      <c r="I1913" s="14" t="s">
        <v>2934</v>
      </c>
      <c r="J1913" s="7"/>
      <c r="K1913" s="7"/>
      <c r="L1913" s="7"/>
      <c r="M1913" s="7"/>
    </row>
    <row r="1914" spans="2:15" x14ac:dyDescent="0.25">
      <c r="B1914" s="1" t="s">
        <v>397</v>
      </c>
      <c r="C1914" s="253" t="s">
        <v>1319</v>
      </c>
      <c r="D1914" s="253"/>
      <c r="E1914" s="253" t="s">
        <v>1321</v>
      </c>
      <c r="F1914" s="253"/>
      <c r="G1914" s="253" t="s">
        <v>2235</v>
      </c>
      <c r="H1914" s="253"/>
      <c r="I1914" s="14" t="s">
        <v>2935</v>
      </c>
      <c r="J1914" s="14"/>
      <c r="K1914" s="7"/>
      <c r="L1914" s="7"/>
      <c r="M1914" s="7"/>
      <c r="O1914" s="98">
        <v>0</v>
      </c>
    </row>
    <row r="1915" spans="2:15" x14ac:dyDescent="0.25">
      <c r="B1915" s="1"/>
      <c r="C1915" s="189"/>
      <c r="D1915" s="189"/>
      <c r="E1915" s="253"/>
      <c r="F1915" s="253"/>
      <c r="G1915" s="253"/>
      <c r="H1915" s="253"/>
      <c r="I1915" s="14" t="s">
        <v>2936</v>
      </c>
      <c r="J1915" s="14"/>
      <c r="K1915" s="7"/>
      <c r="L1915" s="7"/>
      <c r="M1915" s="7"/>
    </row>
    <row r="1916" spans="2:15" x14ac:dyDescent="0.25">
      <c r="B1916" s="11" t="s">
        <v>518</v>
      </c>
      <c r="C1916" s="265" t="s">
        <v>2813</v>
      </c>
      <c r="D1916" s="265"/>
      <c r="E1916" s="252" t="s">
        <v>2582</v>
      </c>
      <c r="F1916" s="252"/>
      <c r="G1916" s="252" t="s">
        <v>2498</v>
      </c>
      <c r="H1916" s="252"/>
      <c r="I1916" s="14" t="s">
        <v>2937</v>
      </c>
      <c r="J1916" s="14"/>
      <c r="K1916" s="7"/>
      <c r="L1916" s="7"/>
      <c r="M1916" s="7"/>
      <c r="O1916" s="102" t="e">
        <f>SUM(7.25*#REF!)/175</f>
        <v>#REF!</v>
      </c>
    </row>
    <row r="1917" spans="2:15" x14ac:dyDescent="0.25">
      <c r="B1917" s="11"/>
      <c r="C1917" s="188"/>
      <c r="D1917" s="188"/>
      <c r="E1917" s="252"/>
      <c r="F1917" s="252"/>
      <c r="G1917" s="252"/>
      <c r="H1917" s="252"/>
      <c r="I1917" s="14" t="s">
        <v>612</v>
      </c>
      <c r="J1917" s="14"/>
    </row>
    <row r="1918" spans="2:15" x14ac:dyDescent="0.25">
      <c r="B1918" s="1" t="s">
        <v>2938</v>
      </c>
      <c r="C1918" s="253" t="s">
        <v>391</v>
      </c>
      <c r="D1918" s="253"/>
      <c r="E1918" s="253" t="s">
        <v>2372</v>
      </c>
      <c r="F1918" s="253"/>
      <c r="G1918" s="253" t="s">
        <v>374</v>
      </c>
      <c r="H1918" s="253"/>
      <c r="I1918" s="14" t="s">
        <v>2939</v>
      </c>
      <c r="J1918" s="14"/>
      <c r="O1918" s="98" t="e">
        <f>SUM(0.75*#REF!)/175</f>
        <v>#REF!</v>
      </c>
    </row>
    <row r="1919" spans="2:15" x14ac:dyDescent="0.25">
      <c r="B1919" s="1"/>
      <c r="C1919" s="253"/>
      <c r="D1919" s="253"/>
      <c r="E1919" s="253"/>
      <c r="F1919" s="253"/>
      <c r="G1919" s="253"/>
      <c r="H1919" s="253"/>
      <c r="I1919" s="14" t="s">
        <v>2940</v>
      </c>
      <c r="J1919" s="14"/>
    </row>
    <row r="1920" spans="2:15" x14ac:dyDescent="0.25">
      <c r="B1920" s="11" t="s">
        <v>2443</v>
      </c>
      <c r="C1920" s="252" t="s">
        <v>678</v>
      </c>
      <c r="D1920" s="252"/>
      <c r="E1920" s="252" t="s">
        <v>390</v>
      </c>
      <c r="F1920" s="252"/>
      <c r="G1920" s="252" t="s">
        <v>524</v>
      </c>
      <c r="H1920" s="252"/>
      <c r="I1920" s="14" t="s">
        <v>2941</v>
      </c>
      <c r="J1920" s="14"/>
      <c r="O1920" s="102" t="e">
        <f>SUM(0.3*#REF!)/175</f>
        <v>#REF!</v>
      </c>
    </row>
    <row r="1921" spans="2:15" x14ac:dyDescent="0.25">
      <c r="B1921" s="11"/>
      <c r="C1921" s="188"/>
      <c r="D1921" s="188"/>
      <c r="E1921" s="252"/>
      <c r="F1921" s="252"/>
      <c r="G1921" s="252"/>
      <c r="H1921" s="252"/>
      <c r="I1921" s="14"/>
      <c r="J1921" s="14"/>
    </row>
    <row r="1922" spans="2:15" x14ac:dyDescent="0.25">
      <c r="B1922" s="1" t="s">
        <v>2446</v>
      </c>
      <c r="C1922" s="253" t="s">
        <v>678</v>
      </c>
      <c r="D1922" s="253"/>
      <c r="E1922" s="253" t="s">
        <v>390</v>
      </c>
      <c r="F1922" s="253"/>
      <c r="G1922" s="253" t="s">
        <v>524</v>
      </c>
      <c r="H1922" s="253"/>
      <c r="I1922" s="14" t="s">
        <v>2942</v>
      </c>
      <c r="J1922" s="14"/>
      <c r="O1922" s="102" t="e">
        <f>SUM(0.3*#REF!)/175</f>
        <v>#REF!</v>
      </c>
    </row>
    <row r="1923" spans="2:15" x14ac:dyDescent="0.25">
      <c r="B1923" s="1"/>
      <c r="C1923" s="189"/>
      <c r="D1923" s="189"/>
      <c r="E1923" s="253"/>
      <c r="F1923" s="253"/>
      <c r="G1923" s="253"/>
      <c r="H1923" s="253"/>
      <c r="I1923" s="14"/>
      <c r="J1923" s="14"/>
    </row>
    <row r="1924" spans="2:15" x14ac:dyDescent="0.25">
      <c r="B1924" s="11" t="s">
        <v>2449</v>
      </c>
      <c r="C1924" s="252" t="s">
        <v>1026</v>
      </c>
      <c r="D1924" s="252"/>
      <c r="E1924" s="252" t="s">
        <v>2812</v>
      </c>
      <c r="F1924" s="252"/>
      <c r="G1924" s="252" t="s">
        <v>1053</v>
      </c>
      <c r="H1924" s="252"/>
      <c r="O1924" s="102" t="e">
        <f>SUM(5*#REF!)/175</f>
        <v>#REF!</v>
      </c>
    </row>
    <row r="1925" spans="2:15" x14ac:dyDescent="0.25">
      <c r="B1925" s="11"/>
      <c r="C1925" s="13"/>
      <c r="D1925" s="188"/>
      <c r="E1925" s="188"/>
      <c r="F1925" s="188"/>
      <c r="G1925" s="188"/>
      <c r="H1925" s="188"/>
    </row>
    <row r="1926" spans="2:15" x14ac:dyDescent="0.25">
      <c r="B1926" s="1" t="s">
        <v>2452</v>
      </c>
      <c r="C1926" s="253" t="s">
        <v>744</v>
      </c>
      <c r="D1926" s="253"/>
      <c r="E1926" s="253" t="s">
        <v>891</v>
      </c>
      <c r="F1926" s="253"/>
      <c r="G1926" s="253" t="s">
        <v>882</v>
      </c>
      <c r="H1926" s="253"/>
      <c r="O1926" s="102" t="e">
        <f>SUM(2*#REF!)/175</f>
        <v>#REF!</v>
      </c>
    </row>
    <row r="1927" spans="2:15" x14ac:dyDescent="0.25">
      <c r="B1927" s="1"/>
      <c r="C1927" s="189"/>
      <c r="D1927" s="189"/>
      <c r="E1927" s="189"/>
      <c r="F1927" s="189"/>
      <c r="G1927" s="189"/>
      <c r="H1927" s="189"/>
    </row>
    <row r="1928" spans="2:15" x14ac:dyDescent="0.25">
      <c r="B1928" s="11" t="s">
        <v>1041</v>
      </c>
      <c r="C1928" s="252" t="s">
        <v>491</v>
      </c>
      <c r="D1928" s="252"/>
      <c r="E1928" s="252" t="s">
        <v>392</v>
      </c>
      <c r="F1928" s="252"/>
      <c r="G1928" s="252" t="s">
        <v>374</v>
      </c>
      <c r="H1928" s="252"/>
      <c r="O1928" s="103" t="e">
        <f>SUM(3*#REF!)/175</f>
        <v>#REF!</v>
      </c>
    </row>
    <row r="1929" spans="2:15" x14ac:dyDescent="0.25">
      <c r="B1929" s="11"/>
      <c r="C1929" s="188"/>
      <c r="D1929" s="188"/>
      <c r="E1929" s="188"/>
      <c r="F1929" s="188"/>
      <c r="G1929" s="188"/>
      <c r="H1929" s="188"/>
    </row>
    <row r="1930" spans="2:15" x14ac:dyDescent="0.25">
      <c r="B1930" s="1" t="s">
        <v>1468</v>
      </c>
      <c r="C1930" s="253" t="s">
        <v>678</v>
      </c>
      <c r="D1930" s="253"/>
      <c r="E1930" s="253" t="s">
        <v>390</v>
      </c>
      <c r="F1930" s="253"/>
      <c r="G1930" s="253" t="s">
        <v>524</v>
      </c>
      <c r="H1930" s="253"/>
      <c r="O1930" s="102" t="e">
        <f>SUM(0.3*#REF!)/175</f>
        <v>#REF!</v>
      </c>
    </row>
    <row r="1931" spans="2:15" x14ac:dyDescent="0.25">
      <c r="B1931" s="1"/>
      <c r="C1931" s="189"/>
      <c r="D1931" s="189"/>
      <c r="E1931" s="189"/>
      <c r="F1931" s="189"/>
      <c r="G1931" s="189"/>
      <c r="H1931" s="189"/>
    </row>
    <row r="1932" spans="2:15" x14ac:dyDescent="0.25">
      <c r="B1932" s="11" t="s">
        <v>2943</v>
      </c>
      <c r="C1932" s="252" t="s">
        <v>2921</v>
      </c>
      <c r="D1932" s="252"/>
      <c r="E1932" s="252" t="s">
        <v>2944</v>
      </c>
      <c r="F1932" s="252"/>
      <c r="G1932" s="252" t="s">
        <v>2945</v>
      </c>
      <c r="H1932" s="252"/>
      <c r="O1932" s="98" t="e">
        <f>SUM(11*#REF!)/175</f>
        <v>#REF!</v>
      </c>
    </row>
    <row r="1933" spans="2:15" x14ac:dyDescent="0.25">
      <c r="B1933" s="11" t="s">
        <v>2946</v>
      </c>
      <c r="C1933" s="188"/>
      <c r="D1933" s="188"/>
      <c r="E1933" s="188"/>
      <c r="F1933" s="188"/>
      <c r="G1933" s="188"/>
      <c r="H1933" s="188"/>
    </row>
    <row r="1934" spans="2:15" x14ac:dyDescent="0.25">
      <c r="B1934" s="1" t="s">
        <v>397</v>
      </c>
      <c r="C1934" s="253" t="s">
        <v>2947</v>
      </c>
      <c r="D1934" s="253"/>
      <c r="E1934" s="253" t="s">
        <v>2948</v>
      </c>
      <c r="F1934" s="253"/>
      <c r="G1934" s="253" t="s">
        <v>2949</v>
      </c>
      <c r="H1934" s="253"/>
      <c r="O1934" s="98">
        <v>0</v>
      </c>
    </row>
    <row r="1935" spans="2:15" x14ac:dyDescent="0.25">
      <c r="B1935" s="1"/>
      <c r="C1935" s="189"/>
      <c r="D1935" s="189"/>
      <c r="E1935" s="189"/>
      <c r="F1935" s="189"/>
      <c r="G1935" s="189"/>
      <c r="H1935" s="189"/>
    </row>
    <row r="1936" spans="2:15" x14ac:dyDescent="0.25">
      <c r="B1936" s="11" t="s">
        <v>518</v>
      </c>
      <c r="C1936" s="252" t="s">
        <v>390</v>
      </c>
      <c r="D1936" s="252"/>
      <c r="E1936" s="252" t="s">
        <v>1325</v>
      </c>
      <c r="F1936" s="252"/>
      <c r="G1936" s="252" t="s">
        <v>391</v>
      </c>
      <c r="H1936" s="252"/>
      <c r="O1936" s="102" t="e">
        <f>SUM(0.5*#REF!)/175</f>
        <v>#REF!</v>
      </c>
    </row>
    <row r="1937" spans="2:15" x14ac:dyDescent="0.25">
      <c r="B1937" s="11"/>
      <c r="C1937" s="289"/>
      <c r="D1937" s="289"/>
      <c r="E1937" s="289"/>
      <c r="F1937" s="289"/>
      <c r="G1937" s="289"/>
      <c r="H1937" s="289"/>
    </row>
    <row r="1938" spans="2:15" x14ac:dyDescent="0.25">
      <c r="B1938" s="1" t="s">
        <v>2950</v>
      </c>
      <c r="C1938" s="253" t="s">
        <v>2916</v>
      </c>
      <c r="D1938" s="253"/>
      <c r="E1938" s="253" t="s">
        <v>2917</v>
      </c>
      <c r="F1938" s="253"/>
      <c r="G1938" s="253" t="s">
        <v>2918</v>
      </c>
      <c r="H1938" s="253"/>
      <c r="O1938" s="98" t="e">
        <f>SUM(29.75*#REF!)/175</f>
        <v>#REF!</v>
      </c>
    </row>
    <row r="1939" spans="2:15" x14ac:dyDescent="0.25">
      <c r="B1939" s="1" t="s">
        <v>2951</v>
      </c>
      <c r="C1939" s="189"/>
      <c r="D1939" s="189"/>
      <c r="E1939" s="189"/>
      <c r="F1939" s="189"/>
      <c r="G1939" s="189"/>
      <c r="H1939" s="189"/>
    </row>
    <row r="1940" spans="2:15" x14ac:dyDescent="0.25">
      <c r="B1940" s="11" t="s">
        <v>2952</v>
      </c>
      <c r="C1940" s="252" t="s">
        <v>1550</v>
      </c>
      <c r="D1940" s="252"/>
      <c r="E1940" s="252" t="s">
        <v>392</v>
      </c>
      <c r="F1940" s="252"/>
      <c r="G1940" s="252" t="s">
        <v>786</v>
      </c>
      <c r="H1940" s="252"/>
      <c r="O1940" s="102" t="e">
        <f>SUM(0.75*#REF!)/175</f>
        <v>#REF!</v>
      </c>
    </row>
    <row r="1941" spans="2:15" x14ac:dyDescent="0.25">
      <c r="B1941" s="11"/>
      <c r="C1941" s="188"/>
      <c r="D1941" s="188"/>
      <c r="E1941" s="188"/>
      <c r="F1941" s="188"/>
      <c r="G1941" s="188"/>
      <c r="H1941" s="188"/>
    </row>
    <row r="1942" spans="2:15" x14ac:dyDescent="0.25">
      <c r="B1942" s="1" t="s">
        <v>2953</v>
      </c>
      <c r="C1942" s="253" t="s">
        <v>744</v>
      </c>
      <c r="D1942" s="253"/>
      <c r="E1942" s="253" t="s">
        <v>891</v>
      </c>
      <c r="F1942" s="253"/>
      <c r="G1942" s="253" t="s">
        <v>882</v>
      </c>
      <c r="H1942" s="253"/>
      <c r="O1942" s="102" t="e">
        <f>SUM(2*#REF!)/175</f>
        <v>#REF!</v>
      </c>
    </row>
    <row r="1943" spans="2:15" x14ac:dyDescent="0.25">
      <c r="B1943" s="1"/>
      <c r="C1943" s="189"/>
      <c r="D1943" s="189"/>
      <c r="E1943" s="189"/>
      <c r="F1943" s="189"/>
      <c r="G1943" s="189"/>
      <c r="H1943" s="189"/>
    </row>
    <row r="1944" spans="2:15" x14ac:dyDescent="0.25">
      <c r="B1944" s="11" t="s">
        <v>360</v>
      </c>
      <c r="C1944" s="252" t="s">
        <v>2954</v>
      </c>
      <c r="D1944" s="252"/>
      <c r="E1944" s="252" t="s">
        <v>2955</v>
      </c>
      <c r="F1944" s="252"/>
      <c r="G1944" s="252" t="s">
        <v>2956</v>
      </c>
      <c r="H1944" s="252"/>
      <c r="O1944" s="99" t="e">
        <f>SUM(2*#REF!)/175</f>
        <v>#REF!</v>
      </c>
    </row>
    <row r="1945" spans="2:15" ht="15.75" thickBot="1" x14ac:dyDescent="0.3">
      <c r="B1945" s="11" t="s">
        <v>2437</v>
      </c>
      <c r="C1945" s="289"/>
      <c r="D1945" s="289"/>
      <c r="E1945" s="289"/>
      <c r="F1945" s="289"/>
      <c r="G1945" s="289"/>
      <c r="H1945" s="289"/>
    </row>
    <row r="1946" spans="2:15" x14ac:dyDescent="0.25">
      <c r="B1946" s="274" t="s">
        <v>401</v>
      </c>
      <c r="C1946" s="275"/>
      <c r="D1946" s="275"/>
      <c r="E1946" s="275"/>
      <c r="F1946" s="275"/>
      <c r="G1946" s="275"/>
      <c r="H1946" s="275"/>
      <c r="I1946" s="275"/>
      <c r="J1946" s="275"/>
      <c r="K1946" s="275"/>
      <c r="L1946" s="275"/>
      <c r="M1946" s="276"/>
      <c r="O1946" s="100" t="e">
        <f>SUM(O1904:O1944)</f>
        <v>#REF!</v>
      </c>
    </row>
    <row r="1947" spans="2:15" x14ac:dyDescent="0.25">
      <c r="B1947" s="3" t="s">
        <v>402</v>
      </c>
      <c r="C1947" s="232" t="s">
        <v>403</v>
      </c>
      <c r="D1947" s="232"/>
      <c r="E1947" s="233" t="s">
        <v>404</v>
      </c>
      <c r="F1947" s="233"/>
      <c r="G1947" s="232" t="s">
        <v>405</v>
      </c>
      <c r="H1947" s="232"/>
      <c r="I1947" s="234" t="s">
        <v>406</v>
      </c>
      <c r="J1947" s="277"/>
      <c r="K1947" s="234" t="s">
        <v>407</v>
      </c>
      <c r="L1947" s="235"/>
      <c r="M1947" s="236"/>
    </row>
    <row r="1948" spans="2:15" ht="15.75" thickBot="1" x14ac:dyDescent="0.3">
      <c r="B1948" s="5">
        <v>2</v>
      </c>
      <c r="C1948" s="237">
        <v>4.8</v>
      </c>
      <c r="D1948" s="238"/>
      <c r="E1948" s="239">
        <v>1.26</v>
      </c>
      <c r="F1948" s="238"/>
      <c r="G1948" s="240"/>
      <c r="H1948" s="240"/>
      <c r="I1948" s="242"/>
      <c r="J1948" s="278"/>
      <c r="K1948" s="242">
        <v>2.4E-2</v>
      </c>
      <c r="L1948" s="243"/>
      <c r="M1948" s="244"/>
    </row>
    <row r="1949" spans="2:15" x14ac:dyDescent="0.25">
      <c r="B1949" s="1"/>
      <c r="C1949" s="1"/>
      <c r="D1949" s="1"/>
      <c r="E1949" s="1"/>
      <c r="F1949" s="1"/>
      <c r="G1949" s="1"/>
      <c r="H1949" s="1"/>
    </row>
    <row r="1950" spans="2:15" x14ac:dyDescent="0.25">
      <c r="B1950" s="217" t="s">
        <v>408</v>
      </c>
      <c r="C1950" s="218"/>
      <c r="D1950" s="218"/>
      <c r="E1950" s="218"/>
      <c r="F1950" s="218"/>
      <c r="G1950" s="218"/>
      <c r="H1950" s="218"/>
      <c r="I1950" s="218"/>
      <c r="J1950" s="218"/>
      <c r="K1950" s="218"/>
      <c r="L1950" s="218"/>
      <c r="M1950" s="219"/>
    </row>
    <row r="1951" spans="2:15" x14ac:dyDescent="0.25">
      <c r="B1951" s="122" t="s">
        <v>2957</v>
      </c>
      <c r="C1951" s="220" t="s">
        <v>2958</v>
      </c>
      <c r="D1951" s="220"/>
      <c r="E1951" s="221" t="s">
        <v>1058</v>
      </c>
      <c r="F1951" s="221"/>
      <c r="G1951" s="221" t="s">
        <v>1059</v>
      </c>
      <c r="H1951" s="221"/>
      <c r="I1951" s="220" t="s">
        <v>2959</v>
      </c>
      <c r="J1951" s="220"/>
      <c r="K1951" s="220" t="s">
        <v>2960</v>
      </c>
      <c r="L1951" s="220"/>
      <c r="M1951" s="222"/>
    </row>
    <row r="1952" spans="2:15" x14ac:dyDescent="0.25">
      <c r="B1952" s="123" t="s">
        <v>2961</v>
      </c>
      <c r="C1952" s="225" t="s">
        <v>2962</v>
      </c>
      <c r="D1952" s="226"/>
      <c r="E1952" s="227" t="s">
        <v>2963</v>
      </c>
      <c r="F1952" s="227"/>
      <c r="G1952" s="223" t="s">
        <v>2964</v>
      </c>
      <c r="H1952" s="223"/>
      <c r="I1952" s="227" t="s">
        <v>2965</v>
      </c>
      <c r="J1952" s="227"/>
      <c r="K1952" s="223" t="s">
        <v>2966</v>
      </c>
      <c r="L1952" s="223"/>
      <c r="M1952" s="224"/>
    </row>
    <row r="1953" spans="2:15" x14ac:dyDescent="0.25">
      <c r="B1953" s="123" t="s">
        <v>2967</v>
      </c>
      <c r="C1953" s="286" t="s">
        <v>2968</v>
      </c>
      <c r="D1953" s="287"/>
      <c r="E1953" s="227" t="s">
        <v>2969</v>
      </c>
      <c r="F1953" s="227"/>
      <c r="G1953" s="223" t="s">
        <v>1069</v>
      </c>
      <c r="H1953" s="223"/>
      <c r="I1953" s="223" t="s">
        <v>2970</v>
      </c>
      <c r="J1953" s="223"/>
      <c r="K1953" s="223" t="s">
        <v>426</v>
      </c>
      <c r="L1953" s="223"/>
      <c r="M1953" s="224"/>
    </row>
    <row r="1955" spans="2:15" ht="23.25" x14ac:dyDescent="0.35">
      <c r="B1955" s="29" t="s">
        <v>334</v>
      </c>
      <c r="C1955" s="229" t="s">
        <v>2971</v>
      </c>
      <c r="D1955" s="229"/>
      <c r="E1955" s="229"/>
      <c r="F1955" s="229"/>
      <c r="G1955" s="229"/>
      <c r="H1955" s="229"/>
      <c r="I1955" s="229"/>
      <c r="J1955" s="229"/>
      <c r="K1955" s="229"/>
      <c r="O1955" s="101" t="s">
        <v>481</v>
      </c>
    </row>
    <row r="1956" spans="2:15" ht="18.75" x14ac:dyDescent="0.3">
      <c r="B1956" s="12" t="s">
        <v>335</v>
      </c>
      <c r="C1956" s="195" t="s">
        <v>336</v>
      </c>
      <c r="D1956" s="228" t="s">
        <v>427</v>
      </c>
      <c r="E1956" s="228"/>
      <c r="F1956" s="14" t="s">
        <v>804</v>
      </c>
      <c r="L1956" s="12" t="s">
        <v>339</v>
      </c>
      <c r="M1956" s="6" t="s">
        <v>199</v>
      </c>
    </row>
    <row r="1958" spans="2:15" x14ac:dyDescent="0.25">
      <c r="B1958" s="2" t="s">
        <v>341</v>
      </c>
      <c r="C1958" s="250" t="s">
        <v>342</v>
      </c>
      <c r="D1958" s="250"/>
      <c r="E1958" s="250" t="s">
        <v>343</v>
      </c>
      <c r="F1958" s="250"/>
      <c r="G1958" s="250" t="s">
        <v>344</v>
      </c>
      <c r="H1958" s="250"/>
      <c r="I1958" s="228" t="s">
        <v>345</v>
      </c>
      <c r="J1958" s="228"/>
      <c r="K1958" s="228"/>
      <c r="L1958" s="228"/>
      <c r="M1958" s="228"/>
      <c r="O1958" s="101" t="s">
        <v>732</v>
      </c>
    </row>
    <row r="1959" spans="2:15" x14ac:dyDescent="0.25">
      <c r="C1959" s="251"/>
      <c r="D1959" s="251"/>
      <c r="E1959" s="251"/>
      <c r="F1959" s="251"/>
      <c r="G1959" s="251"/>
      <c r="H1959" s="251"/>
      <c r="I1959" s="7"/>
      <c r="J1959" s="7"/>
      <c r="K1959" s="7"/>
      <c r="L1959" s="7"/>
      <c r="M1959" s="7"/>
    </row>
    <row r="1960" spans="2:15" x14ac:dyDescent="0.25">
      <c r="B1960" s="11" t="s">
        <v>1149</v>
      </c>
      <c r="C1960" s="252" t="s">
        <v>2972</v>
      </c>
      <c r="D1960" s="252"/>
      <c r="E1960" s="252" t="s">
        <v>2973</v>
      </c>
      <c r="F1960" s="252"/>
      <c r="G1960" s="252" t="s">
        <v>2068</v>
      </c>
      <c r="H1960" s="252"/>
      <c r="I1960" s="14" t="s">
        <v>2974</v>
      </c>
      <c r="J1960" s="7"/>
      <c r="K1960" s="7"/>
      <c r="L1960" s="7"/>
      <c r="M1960" s="7"/>
      <c r="O1960" s="142" t="e">
        <f>SUM(1.3125*#REF!)/175</f>
        <v>#REF!</v>
      </c>
    </row>
    <row r="1961" spans="2:15" x14ac:dyDescent="0.25">
      <c r="B1961" s="11"/>
      <c r="C1961" s="188"/>
      <c r="D1961" s="188"/>
      <c r="E1961" s="252"/>
      <c r="F1961" s="252"/>
      <c r="G1961" s="252"/>
      <c r="H1961" s="252"/>
      <c r="I1961" s="14" t="s">
        <v>2975</v>
      </c>
      <c r="J1961" s="7"/>
      <c r="K1961" s="7"/>
      <c r="L1961" s="7"/>
      <c r="M1961" s="7"/>
    </row>
    <row r="1962" spans="2:15" x14ac:dyDescent="0.25">
      <c r="B1962" s="1" t="s">
        <v>2976</v>
      </c>
      <c r="C1962" s="253" t="s">
        <v>1156</v>
      </c>
      <c r="D1962" s="253"/>
      <c r="E1962" s="253" t="s">
        <v>1157</v>
      </c>
      <c r="F1962" s="253"/>
      <c r="G1962" s="253" t="s">
        <v>2977</v>
      </c>
      <c r="H1962" s="253"/>
      <c r="I1962" s="14" t="s">
        <v>2978</v>
      </c>
      <c r="J1962" s="7"/>
      <c r="K1962" s="7"/>
      <c r="L1962" s="7"/>
      <c r="M1962" s="7"/>
      <c r="O1962" s="98" t="e">
        <f>SUM(350*#REF!)/175</f>
        <v>#REF!</v>
      </c>
    </row>
    <row r="1963" spans="2:15" x14ac:dyDescent="0.25">
      <c r="B1963" s="73" t="s">
        <v>2979</v>
      </c>
      <c r="C1963" s="189"/>
      <c r="D1963" s="189"/>
      <c r="E1963" s="253"/>
      <c r="F1963" s="253"/>
      <c r="G1963" s="253"/>
      <c r="H1963" s="253"/>
      <c r="I1963" s="14" t="s">
        <v>2980</v>
      </c>
      <c r="J1963" s="7"/>
      <c r="K1963" s="7"/>
      <c r="L1963" s="7"/>
      <c r="M1963" s="7"/>
    </row>
    <row r="1964" spans="2:15" x14ac:dyDescent="0.25">
      <c r="B1964" s="11" t="s">
        <v>1854</v>
      </c>
      <c r="C1964" s="252" t="s">
        <v>545</v>
      </c>
      <c r="D1964" s="252"/>
      <c r="E1964" s="252" t="s">
        <v>984</v>
      </c>
      <c r="F1964" s="252"/>
      <c r="G1964" s="252" t="s">
        <v>1055</v>
      </c>
      <c r="H1964" s="252"/>
      <c r="I1964" s="14" t="s">
        <v>2981</v>
      </c>
      <c r="J1964" s="7"/>
      <c r="K1964" s="7"/>
      <c r="L1964" s="7"/>
      <c r="M1964" s="7"/>
      <c r="O1964" s="98" t="e">
        <f>SUM(175*#REF!)/175</f>
        <v>#REF!</v>
      </c>
    </row>
    <row r="1965" spans="2:15" x14ac:dyDescent="0.25">
      <c r="B1965" s="11" t="s">
        <v>2982</v>
      </c>
      <c r="C1965" s="188"/>
      <c r="D1965" s="188"/>
      <c r="E1965" s="252"/>
      <c r="F1965" s="252"/>
      <c r="G1965" s="252"/>
      <c r="H1965" s="252"/>
      <c r="I1965" s="14" t="s">
        <v>2983</v>
      </c>
      <c r="J1965" s="7"/>
      <c r="K1965" s="7"/>
      <c r="L1965" s="7"/>
      <c r="M1965" s="7"/>
    </row>
    <row r="1966" spans="2:15" x14ac:dyDescent="0.25">
      <c r="B1966" s="1" t="s">
        <v>2984</v>
      </c>
      <c r="C1966" s="253" t="s">
        <v>2985</v>
      </c>
      <c r="D1966" s="253"/>
      <c r="E1966" s="253" t="s">
        <v>2986</v>
      </c>
      <c r="F1966" s="253"/>
      <c r="G1966" s="253" t="s">
        <v>2987</v>
      </c>
      <c r="H1966" s="253"/>
      <c r="I1966" s="14" t="s">
        <v>2988</v>
      </c>
      <c r="J1966" s="7"/>
      <c r="K1966" s="7"/>
      <c r="L1966" s="7"/>
      <c r="M1966" s="7"/>
      <c r="O1966" s="99" t="e">
        <f>SUM(525*#REF!)/175</f>
        <v>#REF!</v>
      </c>
    </row>
    <row r="1967" spans="2:15" x14ac:dyDescent="0.25">
      <c r="B1967" s="73"/>
      <c r="C1967" s="189"/>
      <c r="D1967" s="189"/>
      <c r="E1967" s="189"/>
      <c r="F1967" s="189"/>
      <c r="G1967" s="189"/>
      <c r="H1967" s="189"/>
      <c r="I1967" s="14"/>
      <c r="J1967" s="14" t="s">
        <v>2989</v>
      </c>
      <c r="K1967" s="7"/>
      <c r="L1967" s="7"/>
      <c r="M1967" s="7"/>
    </row>
    <row r="1968" spans="2:15" x14ac:dyDescent="0.25">
      <c r="B1968" s="73"/>
      <c r="C1968" s="189"/>
      <c r="D1968" s="189"/>
      <c r="E1968" s="189"/>
      <c r="F1968" s="189"/>
      <c r="G1968" s="189"/>
      <c r="H1968" s="189"/>
      <c r="I1968" s="14"/>
      <c r="J1968" s="14" t="s">
        <v>2990</v>
      </c>
      <c r="K1968" s="7"/>
      <c r="L1968" s="7"/>
      <c r="M1968" s="7"/>
    </row>
    <row r="1969" spans="2:15" x14ac:dyDescent="0.25">
      <c r="B1969" s="73"/>
      <c r="C1969" s="189"/>
      <c r="D1969" s="189"/>
      <c r="E1969" s="189"/>
      <c r="F1969" s="189"/>
      <c r="G1969" s="189"/>
      <c r="H1969" s="189"/>
      <c r="I1969" s="14" t="s">
        <v>2991</v>
      </c>
      <c r="J1969" s="7"/>
      <c r="K1969" s="7"/>
      <c r="L1969" s="7"/>
      <c r="M1969" s="7"/>
      <c r="O1969" s="143" t="e">
        <f>SUM(O1960:O1966)</f>
        <v>#REF!</v>
      </c>
    </row>
    <row r="1970" spans="2:15" x14ac:dyDescent="0.25">
      <c r="B1970" s="73"/>
      <c r="C1970" s="189"/>
      <c r="D1970" s="189"/>
      <c r="E1970" s="189"/>
      <c r="F1970" s="189"/>
      <c r="G1970" s="189"/>
      <c r="H1970" s="189"/>
      <c r="I1970" s="14" t="s">
        <v>2992</v>
      </c>
      <c r="J1970" s="7"/>
      <c r="K1970" s="7"/>
      <c r="L1970" s="7"/>
      <c r="M1970" s="7"/>
    </row>
    <row r="1971" spans="2:15" x14ac:dyDescent="0.25">
      <c r="B1971" s="73"/>
      <c r="C1971" s="189"/>
      <c r="D1971" s="189"/>
      <c r="E1971" s="189"/>
      <c r="F1971" s="189"/>
      <c r="G1971" s="189"/>
      <c r="H1971" s="189"/>
      <c r="I1971" s="14" t="s">
        <v>612</v>
      </c>
      <c r="J1971" s="7"/>
      <c r="K1971" s="7"/>
      <c r="L1971" s="7"/>
      <c r="M1971" s="7"/>
    </row>
    <row r="1972" spans="2:15" ht="15.75" thickBot="1" x14ac:dyDescent="0.3">
      <c r="C1972" s="253"/>
      <c r="D1972" s="253"/>
      <c r="E1972" s="253"/>
      <c r="F1972" s="253"/>
      <c r="G1972" s="253"/>
      <c r="H1972" s="253"/>
      <c r="I1972" s="14" t="s">
        <v>1174</v>
      </c>
      <c r="J1972" s="7"/>
      <c r="K1972" s="7"/>
      <c r="L1972" s="7"/>
      <c r="M1972" s="7"/>
    </row>
    <row r="1973" spans="2:15" x14ac:dyDescent="0.25">
      <c r="B1973" s="274" t="s">
        <v>401</v>
      </c>
      <c r="C1973" s="275"/>
      <c r="D1973" s="275"/>
      <c r="E1973" s="275"/>
      <c r="F1973" s="275"/>
      <c r="G1973" s="275"/>
      <c r="H1973" s="275"/>
      <c r="I1973" s="275"/>
      <c r="J1973" s="275"/>
      <c r="K1973" s="275"/>
      <c r="L1973" s="275"/>
      <c r="M1973" s="276"/>
    </row>
    <row r="1974" spans="2:15" x14ac:dyDescent="0.25">
      <c r="B1974" s="3" t="s">
        <v>402</v>
      </c>
      <c r="C1974" s="232" t="s">
        <v>403</v>
      </c>
      <c r="D1974" s="232"/>
      <c r="E1974" s="232" t="s">
        <v>467</v>
      </c>
      <c r="F1974" s="232"/>
      <c r="G1974" s="232" t="s">
        <v>405</v>
      </c>
      <c r="H1974" s="232"/>
      <c r="I1974" s="234" t="s">
        <v>406</v>
      </c>
      <c r="J1974" s="277"/>
      <c r="K1974" s="234" t="s">
        <v>468</v>
      </c>
      <c r="L1974" s="235"/>
      <c r="M1974" s="236"/>
    </row>
    <row r="1975" spans="2:15" ht="15.75" thickBot="1" x14ac:dyDescent="0.3">
      <c r="B1975" s="5">
        <v>2.157</v>
      </c>
      <c r="C1975" s="237">
        <v>1.857</v>
      </c>
      <c r="D1975" s="238"/>
      <c r="E1975" s="239"/>
      <c r="F1975" s="238"/>
      <c r="G1975" s="240"/>
      <c r="H1975" s="240"/>
      <c r="I1975" s="242"/>
      <c r="J1975" s="278"/>
      <c r="K1975" s="242"/>
      <c r="L1975" s="243"/>
      <c r="M1975" s="244"/>
    </row>
    <row r="1976" spans="2:15" x14ac:dyDescent="0.25">
      <c r="B1976" s="1"/>
      <c r="C1976" s="1"/>
      <c r="D1976" s="1"/>
      <c r="E1976" s="1"/>
      <c r="F1976" s="1"/>
      <c r="G1976" s="1"/>
      <c r="H1976" s="1"/>
    </row>
    <row r="1977" spans="2:15" x14ac:dyDescent="0.25">
      <c r="B1977" s="217" t="s">
        <v>408</v>
      </c>
      <c r="C1977" s="218"/>
      <c r="D1977" s="218"/>
      <c r="E1977" s="218"/>
      <c r="F1977" s="218"/>
      <c r="G1977" s="218"/>
      <c r="H1977" s="218"/>
      <c r="I1977" s="218"/>
      <c r="J1977" s="218"/>
      <c r="K1977" s="218"/>
      <c r="L1977" s="218"/>
      <c r="M1977" s="219"/>
    </row>
    <row r="1978" spans="2:15" x14ac:dyDescent="0.25">
      <c r="B1978" s="122" t="s">
        <v>2993</v>
      </c>
      <c r="C1978" s="220" t="s">
        <v>721</v>
      </c>
      <c r="D1978" s="220"/>
      <c r="E1978" s="221" t="s">
        <v>2994</v>
      </c>
      <c r="F1978" s="221"/>
      <c r="G1978" s="221" t="s">
        <v>2995</v>
      </c>
      <c r="H1978" s="221"/>
      <c r="I1978" s="220" t="s">
        <v>2996</v>
      </c>
      <c r="J1978" s="220"/>
      <c r="K1978" s="220" t="s">
        <v>2997</v>
      </c>
      <c r="L1978" s="220"/>
      <c r="M1978" s="222"/>
    </row>
    <row r="1979" spans="2:15" x14ac:dyDescent="0.25">
      <c r="B1979" s="123" t="s">
        <v>1181</v>
      </c>
      <c r="C1979" s="225" t="s">
        <v>2202</v>
      </c>
      <c r="D1979" s="226"/>
      <c r="E1979" s="227" t="s">
        <v>583</v>
      </c>
      <c r="F1979" s="227"/>
      <c r="G1979" s="223" t="s">
        <v>2998</v>
      </c>
      <c r="H1979" s="223"/>
      <c r="I1979" s="227" t="s">
        <v>569</v>
      </c>
      <c r="J1979" s="227"/>
      <c r="K1979" s="223" t="s">
        <v>2999</v>
      </c>
      <c r="L1979" s="223"/>
      <c r="M1979" s="224"/>
    </row>
    <row r="1980" spans="2:15" x14ac:dyDescent="0.25">
      <c r="B1980" s="123" t="s">
        <v>530</v>
      </c>
      <c r="C1980" s="286" t="s">
        <v>830</v>
      </c>
      <c r="D1980" s="287"/>
      <c r="E1980" s="227" t="s">
        <v>3000</v>
      </c>
      <c r="F1980" s="227"/>
      <c r="G1980" s="223" t="s">
        <v>573</v>
      </c>
      <c r="H1980" s="223"/>
      <c r="I1980" s="223" t="s">
        <v>574</v>
      </c>
      <c r="J1980" s="223"/>
      <c r="K1980" s="223" t="s">
        <v>426</v>
      </c>
      <c r="L1980" s="223"/>
      <c r="M1980" s="224"/>
    </row>
    <row r="1982" spans="2:15" ht="23.25" x14ac:dyDescent="0.35">
      <c r="B1982" s="29" t="s">
        <v>334</v>
      </c>
      <c r="C1982" s="229" t="s">
        <v>172</v>
      </c>
      <c r="D1982" s="229"/>
      <c r="E1982" s="229"/>
      <c r="F1982" s="229"/>
      <c r="G1982" s="229"/>
      <c r="H1982" s="229"/>
      <c r="I1982" s="229"/>
      <c r="J1982" s="229"/>
      <c r="K1982" s="229"/>
      <c r="L1982" s="229"/>
    </row>
    <row r="1983" spans="2:15" ht="18.75" x14ac:dyDescent="0.3">
      <c r="B1983" s="12" t="s">
        <v>335</v>
      </c>
      <c r="C1983" s="195" t="s">
        <v>336</v>
      </c>
      <c r="D1983" s="228" t="s">
        <v>427</v>
      </c>
      <c r="E1983" s="228"/>
      <c r="F1983" s="1" t="s">
        <v>2096</v>
      </c>
      <c r="L1983" s="12" t="s">
        <v>339</v>
      </c>
      <c r="M1983" s="6" t="s">
        <v>171</v>
      </c>
    </row>
    <row r="1985" spans="2:13" x14ac:dyDescent="0.25">
      <c r="B1985" s="2" t="s">
        <v>341</v>
      </c>
      <c r="C1985" s="250" t="s">
        <v>342</v>
      </c>
      <c r="D1985" s="250"/>
      <c r="E1985" s="250" t="s">
        <v>343</v>
      </c>
      <c r="F1985" s="250"/>
      <c r="G1985" s="250" t="s">
        <v>954</v>
      </c>
      <c r="H1985" s="250"/>
      <c r="I1985" s="228" t="s">
        <v>345</v>
      </c>
      <c r="J1985" s="228"/>
      <c r="K1985" s="228"/>
      <c r="L1985" s="228"/>
      <c r="M1985" s="228"/>
    </row>
    <row r="1986" spans="2:13" x14ac:dyDescent="0.25">
      <c r="C1986" s="251"/>
      <c r="D1986" s="251"/>
      <c r="E1986" s="251"/>
      <c r="F1986" s="251"/>
      <c r="G1986" s="251"/>
      <c r="H1986" s="251"/>
      <c r="I1986" s="7"/>
      <c r="J1986" s="7"/>
      <c r="K1986" s="7"/>
      <c r="L1986" s="7"/>
      <c r="M1986" s="7"/>
    </row>
    <row r="1987" spans="2:13" x14ac:dyDescent="0.25">
      <c r="B1987" s="11" t="s">
        <v>3001</v>
      </c>
      <c r="C1987" s="252" t="s">
        <v>2228</v>
      </c>
      <c r="D1987" s="252"/>
      <c r="E1987" s="252" t="s">
        <v>3002</v>
      </c>
      <c r="F1987" s="252"/>
      <c r="G1987" s="252" t="s">
        <v>3003</v>
      </c>
      <c r="H1987" s="252"/>
      <c r="I1987" s="14" t="s">
        <v>3004</v>
      </c>
      <c r="K1987" s="7"/>
      <c r="L1987" s="7"/>
      <c r="M1987" s="7"/>
    </row>
    <row r="1988" spans="2:13" x14ac:dyDescent="0.25">
      <c r="B1988" s="11" t="s">
        <v>3005</v>
      </c>
      <c r="C1988" s="188"/>
      <c r="D1988" s="188"/>
      <c r="E1988" s="252"/>
      <c r="F1988" s="252"/>
      <c r="G1988" s="252"/>
      <c r="H1988" s="252"/>
      <c r="I1988" s="14" t="s">
        <v>3006</v>
      </c>
      <c r="K1988" s="7"/>
      <c r="L1988" s="7"/>
      <c r="M1988" s="7"/>
    </row>
    <row r="1989" spans="2:13" x14ac:dyDescent="0.25">
      <c r="B1989" s="1" t="s">
        <v>1458</v>
      </c>
      <c r="C1989" s="253" t="s">
        <v>3007</v>
      </c>
      <c r="D1989" s="253"/>
      <c r="E1989" s="253" t="s">
        <v>1853</v>
      </c>
      <c r="F1989" s="253"/>
      <c r="G1989" s="253" t="s">
        <v>789</v>
      </c>
      <c r="H1989" s="253"/>
      <c r="I1989" s="14" t="s">
        <v>3008</v>
      </c>
      <c r="K1989" s="7"/>
      <c r="L1989" s="7"/>
      <c r="M1989" s="7"/>
    </row>
    <row r="1990" spans="2:13" x14ac:dyDescent="0.25">
      <c r="B1990" s="1"/>
      <c r="C1990" s="189"/>
      <c r="D1990" s="189"/>
      <c r="E1990" s="253"/>
      <c r="F1990" s="253"/>
      <c r="G1990" s="253"/>
      <c r="H1990" s="253"/>
      <c r="I1990" s="14" t="s">
        <v>3009</v>
      </c>
      <c r="K1990" s="7"/>
      <c r="L1990" s="7"/>
      <c r="M1990" s="7"/>
    </row>
    <row r="1991" spans="2:13" x14ac:dyDescent="0.25">
      <c r="B1991" s="11" t="s">
        <v>3010</v>
      </c>
      <c r="C1991" s="252" t="s">
        <v>2921</v>
      </c>
      <c r="D1991" s="252"/>
      <c r="E1991" s="252" t="s">
        <v>2944</v>
      </c>
      <c r="F1991" s="252"/>
      <c r="G1991" s="252" t="s">
        <v>1032</v>
      </c>
      <c r="H1991" s="252"/>
      <c r="I1991" s="14" t="s">
        <v>3011</v>
      </c>
      <c r="K1991" s="7"/>
      <c r="L1991" s="7"/>
      <c r="M1991" s="7"/>
    </row>
    <row r="1992" spans="2:13" x14ac:dyDescent="0.25">
      <c r="B1992" s="11"/>
      <c r="C1992" s="188"/>
      <c r="D1992" s="188"/>
      <c r="E1992" s="252"/>
      <c r="F1992" s="252"/>
      <c r="G1992" s="252"/>
      <c r="H1992" s="252"/>
      <c r="I1992" s="14" t="s">
        <v>3012</v>
      </c>
      <c r="K1992" s="7"/>
      <c r="L1992" s="7"/>
      <c r="M1992" s="7"/>
    </row>
    <row r="1993" spans="2:13" x14ac:dyDescent="0.25">
      <c r="B1993" s="1" t="s">
        <v>518</v>
      </c>
      <c r="C1993" s="253" t="s">
        <v>3013</v>
      </c>
      <c r="D1993" s="253"/>
      <c r="E1993" s="253" t="s">
        <v>1202</v>
      </c>
      <c r="F1993" s="253"/>
      <c r="G1993" s="253" t="s">
        <v>3014</v>
      </c>
      <c r="H1993" s="253"/>
      <c r="I1993" s="31" t="s">
        <v>3015</v>
      </c>
      <c r="K1993" s="7"/>
      <c r="L1993" s="7"/>
      <c r="M1993" s="7"/>
    </row>
    <row r="1994" spans="2:13" x14ac:dyDescent="0.25">
      <c r="B1994" s="1"/>
      <c r="C1994" s="253"/>
      <c r="D1994" s="253"/>
      <c r="E1994" s="253"/>
      <c r="F1994" s="253"/>
      <c r="G1994" s="253"/>
      <c r="H1994" s="253"/>
      <c r="I1994" s="14" t="s">
        <v>3016</v>
      </c>
      <c r="K1994" s="7"/>
      <c r="L1994" s="7"/>
      <c r="M1994" s="7"/>
    </row>
    <row r="1995" spans="2:13" x14ac:dyDescent="0.25">
      <c r="B1995" s="11" t="s">
        <v>3017</v>
      </c>
      <c r="C1995" s="252" t="s">
        <v>3018</v>
      </c>
      <c r="D1995" s="252"/>
      <c r="E1995" s="252" t="s">
        <v>3019</v>
      </c>
      <c r="F1995" s="252"/>
      <c r="G1995" s="252" t="s">
        <v>2289</v>
      </c>
      <c r="H1995" s="252"/>
      <c r="I1995" s="31" t="s">
        <v>3020</v>
      </c>
      <c r="K1995" s="7"/>
      <c r="L1995" s="7"/>
      <c r="M1995" s="7"/>
    </row>
    <row r="1996" spans="2:13" x14ac:dyDescent="0.25">
      <c r="B1996" s="11" t="s">
        <v>2161</v>
      </c>
      <c r="C1996" s="188"/>
      <c r="D1996" s="188"/>
      <c r="E1996" s="252"/>
      <c r="F1996" s="252"/>
      <c r="G1996" s="252"/>
      <c r="H1996" s="252"/>
      <c r="I1996" s="14" t="s">
        <v>3021</v>
      </c>
      <c r="K1996" s="7"/>
      <c r="L1996" s="7"/>
      <c r="M1996" s="7"/>
    </row>
    <row r="1997" spans="2:13" x14ac:dyDescent="0.25">
      <c r="B1997" s="1" t="s">
        <v>3022</v>
      </c>
      <c r="C1997" s="253" t="s">
        <v>3023</v>
      </c>
      <c r="D1997" s="253"/>
      <c r="E1997" s="253" t="s">
        <v>2582</v>
      </c>
      <c r="F1997" s="253"/>
      <c r="G1997" s="253" t="s">
        <v>3024</v>
      </c>
      <c r="H1997" s="253"/>
      <c r="I1997" s="31" t="s">
        <v>3025</v>
      </c>
      <c r="K1997" s="7"/>
      <c r="L1997" s="7"/>
      <c r="M1997" s="7"/>
    </row>
    <row r="1998" spans="2:13" x14ac:dyDescent="0.25">
      <c r="B1998" s="1"/>
      <c r="C1998" s="189"/>
      <c r="D1998" s="189"/>
      <c r="E1998" s="253"/>
      <c r="F1998" s="253"/>
      <c r="G1998" s="253"/>
      <c r="H1998" s="253"/>
      <c r="I1998" s="14" t="s">
        <v>3026</v>
      </c>
      <c r="K1998" s="7"/>
      <c r="L1998" s="7"/>
      <c r="M1998" s="7"/>
    </row>
    <row r="1999" spans="2:13" x14ac:dyDescent="0.25">
      <c r="B1999" s="11" t="s">
        <v>3027</v>
      </c>
      <c r="C1999" s="265" t="s">
        <v>3028</v>
      </c>
      <c r="D1999" s="265"/>
      <c r="E1999" s="252" t="s">
        <v>3029</v>
      </c>
      <c r="F1999" s="252"/>
      <c r="G1999" s="252" t="s">
        <v>3030</v>
      </c>
      <c r="H1999" s="252"/>
      <c r="I1999" s="14" t="s">
        <v>3031</v>
      </c>
      <c r="K1999" s="7"/>
      <c r="L1999" s="7"/>
      <c r="M1999" s="7"/>
    </row>
    <row r="2000" spans="2:13" x14ac:dyDescent="0.25">
      <c r="B2000" s="11"/>
      <c r="C2000" s="188"/>
      <c r="D2000" s="188"/>
      <c r="E2000" s="252"/>
      <c r="F2000" s="252"/>
      <c r="G2000" s="252"/>
      <c r="H2000" s="252"/>
      <c r="I2000" s="14" t="s">
        <v>3032</v>
      </c>
    </row>
    <row r="2001" spans="2:13" x14ac:dyDescent="0.25">
      <c r="B2001" s="1" t="s">
        <v>1046</v>
      </c>
      <c r="C2001" s="253" t="s">
        <v>1654</v>
      </c>
      <c r="D2001" s="253"/>
      <c r="E2001" s="253" t="s">
        <v>1654</v>
      </c>
      <c r="F2001" s="253"/>
      <c r="G2001" s="253" t="s">
        <v>1654</v>
      </c>
      <c r="H2001" s="253"/>
      <c r="I2001" s="14" t="s">
        <v>3033</v>
      </c>
    </row>
    <row r="2002" spans="2:13" x14ac:dyDescent="0.25">
      <c r="B2002" s="1"/>
      <c r="C2002" s="253"/>
      <c r="D2002" s="253"/>
      <c r="E2002" s="253"/>
      <c r="F2002" s="253"/>
      <c r="G2002" s="253"/>
      <c r="H2002" s="253"/>
      <c r="I2002" s="14" t="s">
        <v>3034</v>
      </c>
      <c r="J2002" s="14"/>
    </row>
    <row r="2003" spans="2:13" x14ac:dyDescent="0.25">
      <c r="B2003" s="11" t="s">
        <v>3035</v>
      </c>
      <c r="C2003" s="252" t="s">
        <v>2780</v>
      </c>
      <c r="D2003" s="252"/>
      <c r="E2003" s="252" t="s">
        <v>2380</v>
      </c>
      <c r="F2003" s="252"/>
      <c r="G2003" s="252" t="s">
        <v>3036</v>
      </c>
      <c r="H2003" s="252"/>
      <c r="I2003" s="14" t="s">
        <v>3037</v>
      </c>
      <c r="J2003" s="14"/>
    </row>
    <row r="2004" spans="2:13" x14ac:dyDescent="0.25">
      <c r="B2004" s="11"/>
      <c r="C2004" s="188"/>
      <c r="D2004" s="188"/>
      <c r="E2004" s="252"/>
      <c r="F2004" s="252"/>
      <c r="G2004" s="252"/>
      <c r="H2004" s="252"/>
      <c r="I2004" s="31" t="s">
        <v>3038</v>
      </c>
      <c r="J2004" s="14"/>
    </row>
    <row r="2005" spans="2:13" x14ac:dyDescent="0.25">
      <c r="B2005" s="1" t="s">
        <v>848</v>
      </c>
      <c r="C2005" s="253" t="s">
        <v>3039</v>
      </c>
      <c r="D2005" s="253"/>
      <c r="E2005" s="253" t="s">
        <v>392</v>
      </c>
      <c r="F2005" s="253"/>
      <c r="G2005" s="253" t="s">
        <v>2136</v>
      </c>
      <c r="H2005" s="253"/>
      <c r="I2005" s="14" t="s">
        <v>3040</v>
      </c>
      <c r="J2005" s="14"/>
    </row>
    <row r="2006" spans="2:13" x14ac:dyDescent="0.25">
      <c r="B2006" s="1"/>
      <c r="C2006" s="189"/>
      <c r="D2006" s="189"/>
      <c r="E2006" s="253"/>
      <c r="F2006" s="253"/>
      <c r="G2006" s="253"/>
      <c r="H2006" s="253"/>
      <c r="I2006" s="31" t="s">
        <v>3041</v>
      </c>
      <c r="J2006" s="14"/>
    </row>
    <row r="2007" spans="2:13" x14ac:dyDescent="0.25">
      <c r="B2007" s="11" t="s">
        <v>3042</v>
      </c>
      <c r="C2007" s="252" t="s">
        <v>3043</v>
      </c>
      <c r="D2007" s="252"/>
      <c r="E2007" s="252" t="s">
        <v>3044</v>
      </c>
      <c r="F2007" s="252"/>
      <c r="G2007" s="252" t="s">
        <v>3045</v>
      </c>
      <c r="H2007" s="252"/>
      <c r="I2007" s="14" t="s">
        <v>3046</v>
      </c>
    </row>
    <row r="2008" spans="2:13" x14ac:dyDescent="0.25">
      <c r="B2008" s="11"/>
      <c r="C2008" s="13"/>
      <c r="D2008" s="188"/>
      <c r="E2008" s="188"/>
      <c r="F2008" s="188"/>
      <c r="G2008" s="188"/>
      <c r="H2008" s="188"/>
      <c r="I2008" s="31" t="s">
        <v>3047</v>
      </c>
    </row>
    <row r="2009" spans="2:13" x14ac:dyDescent="0.25">
      <c r="B2009" s="1"/>
      <c r="C2009" s="253"/>
      <c r="D2009" s="253"/>
      <c r="E2009" s="253"/>
      <c r="F2009" s="253"/>
      <c r="G2009" s="253"/>
      <c r="H2009" s="253"/>
      <c r="I2009" s="14" t="s">
        <v>3048</v>
      </c>
    </row>
    <row r="2010" spans="2:13" x14ac:dyDescent="0.25">
      <c r="B2010" s="1"/>
      <c r="C2010" s="189"/>
      <c r="D2010" s="189"/>
      <c r="E2010" s="189"/>
      <c r="F2010" s="189"/>
      <c r="G2010" s="189"/>
      <c r="H2010" s="189"/>
      <c r="I2010" s="31" t="s">
        <v>3049</v>
      </c>
    </row>
    <row r="2011" spans="2:13" x14ac:dyDescent="0.25">
      <c r="B2011" s="32"/>
      <c r="C2011" s="255"/>
      <c r="D2011" s="255"/>
      <c r="E2011" s="255"/>
      <c r="F2011" s="255"/>
      <c r="G2011" s="255"/>
      <c r="H2011" s="255"/>
      <c r="I2011" s="14" t="s">
        <v>3050</v>
      </c>
    </row>
    <row r="2012" spans="2:13" x14ac:dyDescent="0.25">
      <c r="B2012" s="32"/>
      <c r="C2012" s="191"/>
      <c r="D2012" s="191"/>
      <c r="E2012" s="191"/>
      <c r="F2012" s="191"/>
      <c r="G2012" s="191"/>
      <c r="H2012" s="191"/>
      <c r="I2012" s="14" t="s">
        <v>3051</v>
      </c>
    </row>
    <row r="2013" spans="2:13" x14ac:dyDescent="0.25">
      <c r="B2013" s="1"/>
      <c r="C2013" s="253"/>
      <c r="D2013" s="253"/>
      <c r="E2013" s="253"/>
      <c r="F2013" s="253"/>
      <c r="G2013" s="253"/>
      <c r="H2013" s="253"/>
      <c r="I2013" s="14" t="s">
        <v>3052</v>
      </c>
    </row>
    <row r="2014" spans="2:13" ht="15.75" thickBot="1" x14ac:dyDescent="0.3">
      <c r="B2014" s="1"/>
      <c r="C2014" s="189"/>
      <c r="D2014" s="189"/>
      <c r="E2014" s="189"/>
      <c r="F2014" s="189"/>
      <c r="G2014" s="189"/>
      <c r="H2014" s="189"/>
      <c r="I2014" s="14" t="s">
        <v>3053</v>
      </c>
    </row>
    <row r="2015" spans="2:13" x14ac:dyDescent="0.25">
      <c r="B2015" s="274" t="s">
        <v>401</v>
      </c>
      <c r="C2015" s="275"/>
      <c r="D2015" s="275"/>
      <c r="E2015" s="275"/>
      <c r="F2015" s="275"/>
      <c r="G2015" s="275"/>
      <c r="H2015" s="275"/>
      <c r="I2015" s="275"/>
      <c r="J2015" s="275"/>
      <c r="K2015" s="275"/>
      <c r="L2015" s="275"/>
      <c r="M2015" s="276"/>
    </row>
    <row r="2016" spans="2:13" x14ac:dyDescent="0.25">
      <c r="B2016" s="3" t="s">
        <v>402</v>
      </c>
      <c r="C2016" s="232" t="s">
        <v>403</v>
      </c>
      <c r="D2016" s="232"/>
      <c r="E2016" s="232" t="s">
        <v>467</v>
      </c>
      <c r="F2016" s="232"/>
      <c r="G2016" s="232" t="s">
        <v>405</v>
      </c>
      <c r="H2016" s="232"/>
      <c r="I2016" s="234" t="s">
        <v>406</v>
      </c>
      <c r="J2016" s="277"/>
      <c r="K2016" s="234" t="s">
        <v>468</v>
      </c>
      <c r="L2016" s="235"/>
      <c r="M2016" s="236"/>
    </row>
    <row r="2017" spans="2:13" ht="15.75" thickBot="1" x14ac:dyDescent="0.3">
      <c r="B2017" s="5"/>
      <c r="C2017" s="237"/>
      <c r="D2017" s="238"/>
      <c r="E2017" s="239">
        <v>0.5</v>
      </c>
      <c r="F2017" s="238"/>
      <c r="G2017" s="240">
        <v>3.6400000000000002E-2</v>
      </c>
      <c r="H2017" s="240"/>
      <c r="I2017" s="242"/>
      <c r="J2017" s="278"/>
      <c r="K2017" s="242"/>
      <c r="L2017" s="243"/>
      <c r="M2017" s="244"/>
    </row>
    <row r="2018" spans="2:13" ht="15.75" thickBot="1" x14ac:dyDescent="0.3">
      <c r="B2018" s="1"/>
      <c r="C2018" s="1"/>
      <c r="D2018" s="1"/>
      <c r="E2018" s="1"/>
      <c r="F2018" s="1"/>
      <c r="G2018" s="1"/>
      <c r="H2018" s="1"/>
    </row>
    <row r="2019" spans="2:13" x14ac:dyDescent="0.25">
      <c r="B2019" s="274" t="s">
        <v>408</v>
      </c>
      <c r="C2019" s="275"/>
      <c r="D2019" s="275"/>
      <c r="E2019" s="275"/>
      <c r="F2019" s="275"/>
      <c r="G2019" s="275"/>
      <c r="H2019" s="275"/>
      <c r="I2019" s="275"/>
      <c r="J2019" s="275"/>
      <c r="K2019" s="275"/>
      <c r="L2019" s="275"/>
      <c r="M2019" s="276"/>
    </row>
    <row r="2020" spans="2:13" x14ac:dyDescent="0.25">
      <c r="B2020" s="3" t="s">
        <v>3054</v>
      </c>
      <c r="C2020" s="232" t="s">
        <v>3055</v>
      </c>
      <c r="D2020" s="232"/>
      <c r="E2020" s="233" t="s">
        <v>3056</v>
      </c>
      <c r="F2020" s="233"/>
      <c r="G2020" s="233" t="s">
        <v>3057</v>
      </c>
      <c r="H2020" s="233"/>
      <c r="I2020" s="279" t="s">
        <v>3058</v>
      </c>
      <c r="J2020" s="280"/>
      <c r="K2020" s="232" t="s">
        <v>3059</v>
      </c>
      <c r="L2020" s="232"/>
      <c r="M2020" s="269"/>
    </row>
    <row r="2021" spans="2:13" ht="15.75" thickBot="1" x14ac:dyDescent="0.3">
      <c r="B2021" s="5" t="s">
        <v>3060</v>
      </c>
      <c r="C2021" s="240" t="s">
        <v>3061</v>
      </c>
      <c r="D2021" s="240"/>
      <c r="E2021" s="266" t="s">
        <v>3062</v>
      </c>
      <c r="F2021" s="266"/>
      <c r="G2021" s="240" t="s">
        <v>3063</v>
      </c>
      <c r="H2021" s="240"/>
      <c r="I2021" s="281" t="s">
        <v>3064</v>
      </c>
      <c r="J2021" s="282"/>
      <c r="K2021" s="240" t="s">
        <v>3065</v>
      </c>
      <c r="L2021" s="240"/>
      <c r="M2021" s="267"/>
    </row>
    <row r="2023" spans="2:13" ht="23.25" x14ac:dyDescent="0.35">
      <c r="B2023" s="29" t="s">
        <v>334</v>
      </c>
      <c r="C2023" s="229" t="s">
        <v>186</v>
      </c>
      <c r="D2023" s="229"/>
      <c r="E2023" s="229"/>
      <c r="F2023" s="229"/>
      <c r="G2023" s="229"/>
      <c r="H2023" s="229"/>
      <c r="I2023" s="229"/>
      <c r="J2023" s="229"/>
      <c r="K2023" s="229"/>
      <c r="L2023" s="229"/>
    </row>
    <row r="2024" spans="2:13" ht="18.75" x14ac:dyDescent="0.3">
      <c r="B2024" s="12" t="s">
        <v>335</v>
      </c>
      <c r="C2024" s="195" t="s">
        <v>336</v>
      </c>
      <c r="D2024" s="228" t="s">
        <v>427</v>
      </c>
      <c r="E2024" s="228"/>
      <c r="F2024" s="1" t="s">
        <v>2096</v>
      </c>
      <c r="L2024" s="12" t="s">
        <v>339</v>
      </c>
      <c r="M2024" s="6" t="s">
        <v>185</v>
      </c>
    </row>
    <row r="2026" spans="2:13" x14ac:dyDescent="0.25">
      <c r="B2026" s="2" t="s">
        <v>341</v>
      </c>
      <c r="C2026" s="250" t="s">
        <v>342</v>
      </c>
      <c r="D2026" s="250"/>
      <c r="E2026" s="250" t="s">
        <v>343</v>
      </c>
      <c r="F2026" s="250"/>
      <c r="G2026" s="250" t="s">
        <v>954</v>
      </c>
      <c r="H2026" s="250"/>
      <c r="I2026" s="228" t="s">
        <v>345</v>
      </c>
      <c r="J2026" s="228"/>
      <c r="K2026" s="228"/>
      <c r="L2026" s="228"/>
      <c r="M2026" s="228"/>
    </row>
    <row r="2027" spans="2:13" x14ac:dyDescent="0.25">
      <c r="C2027" s="251"/>
      <c r="D2027" s="251"/>
      <c r="E2027" s="251"/>
      <c r="F2027" s="251"/>
      <c r="G2027" s="251"/>
      <c r="H2027" s="251"/>
      <c r="I2027" s="7"/>
      <c r="J2027" s="7"/>
      <c r="K2027" s="7"/>
      <c r="L2027" s="7"/>
      <c r="M2027" s="7"/>
    </row>
    <row r="2028" spans="2:13" x14ac:dyDescent="0.25">
      <c r="B2028" s="11" t="s">
        <v>3066</v>
      </c>
      <c r="C2028" s="284" t="s">
        <v>3067</v>
      </c>
      <c r="D2028" s="284"/>
      <c r="E2028" s="252" t="s">
        <v>1674</v>
      </c>
      <c r="F2028" s="252"/>
      <c r="G2028" s="252" t="s">
        <v>383</v>
      </c>
      <c r="H2028" s="252"/>
      <c r="I2028" s="14" t="s">
        <v>3068</v>
      </c>
      <c r="K2028" s="7"/>
      <c r="L2028" s="7"/>
      <c r="M2028" s="7"/>
    </row>
    <row r="2029" spans="2:13" x14ac:dyDescent="0.25">
      <c r="B2029" s="11"/>
      <c r="C2029" s="188"/>
      <c r="D2029" s="188"/>
      <c r="E2029" s="252"/>
      <c r="F2029" s="252"/>
      <c r="G2029" s="252"/>
      <c r="H2029" s="252"/>
      <c r="I2029" s="14" t="s">
        <v>3069</v>
      </c>
      <c r="K2029" s="7"/>
      <c r="L2029" s="7"/>
      <c r="M2029" s="7"/>
    </row>
    <row r="2030" spans="2:13" x14ac:dyDescent="0.25">
      <c r="B2030" s="1" t="s">
        <v>3070</v>
      </c>
      <c r="C2030" s="253" t="s">
        <v>395</v>
      </c>
      <c r="D2030" s="253"/>
      <c r="E2030" s="253" t="s">
        <v>374</v>
      </c>
      <c r="F2030" s="253"/>
      <c r="G2030" s="253" t="s">
        <v>382</v>
      </c>
      <c r="H2030" s="253"/>
      <c r="I2030" s="14" t="s">
        <v>3071</v>
      </c>
      <c r="K2030" s="7"/>
      <c r="L2030" s="7"/>
      <c r="M2030" s="7"/>
    </row>
    <row r="2031" spans="2:13" x14ac:dyDescent="0.25">
      <c r="B2031" s="1"/>
      <c r="C2031" s="189"/>
      <c r="D2031" s="189"/>
      <c r="E2031" s="253"/>
      <c r="F2031" s="253"/>
      <c r="G2031" s="253"/>
      <c r="H2031" s="253"/>
      <c r="I2031" s="14" t="s">
        <v>3072</v>
      </c>
      <c r="K2031" s="7"/>
      <c r="L2031" s="7"/>
      <c r="M2031" s="7"/>
    </row>
    <row r="2032" spans="2:13" x14ac:dyDescent="0.25">
      <c r="B2032" s="11" t="s">
        <v>2903</v>
      </c>
      <c r="C2032" s="252" t="s">
        <v>395</v>
      </c>
      <c r="D2032" s="252"/>
      <c r="E2032" s="252" t="s">
        <v>374</v>
      </c>
      <c r="F2032" s="252"/>
      <c r="G2032" s="252" t="s">
        <v>382</v>
      </c>
      <c r="H2032" s="252"/>
      <c r="I2032" s="14" t="s">
        <v>3073</v>
      </c>
      <c r="K2032" s="7"/>
      <c r="L2032" s="7"/>
      <c r="M2032" s="7"/>
    </row>
    <row r="2033" spans="2:13" x14ac:dyDescent="0.25">
      <c r="B2033" s="11"/>
      <c r="C2033" s="188"/>
      <c r="D2033" s="188"/>
      <c r="E2033" s="252"/>
      <c r="F2033" s="252"/>
      <c r="G2033" s="252"/>
      <c r="H2033" s="252"/>
      <c r="I2033" s="14" t="s">
        <v>3074</v>
      </c>
      <c r="K2033" s="7"/>
      <c r="L2033" s="7"/>
      <c r="M2033" s="7"/>
    </row>
    <row r="2034" spans="2:13" x14ac:dyDescent="0.25">
      <c r="B2034" s="1" t="s">
        <v>3075</v>
      </c>
      <c r="C2034" s="285" t="s">
        <v>3067</v>
      </c>
      <c r="D2034" s="285"/>
      <c r="E2034" s="253" t="s">
        <v>1674</v>
      </c>
      <c r="F2034" s="253"/>
      <c r="G2034" s="253" t="s">
        <v>383</v>
      </c>
      <c r="H2034" s="253"/>
      <c r="I2034" s="14" t="s">
        <v>3076</v>
      </c>
      <c r="K2034" s="7"/>
      <c r="L2034" s="7"/>
      <c r="M2034" s="7"/>
    </row>
    <row r="2035" spans="2:13" x14ac:dyDescent="0.25">
      <c r="B2035" s="1"/>
      <c r="C2035" s="253"/>
      <c r="D2035" s="253"/>
      <c r="E2035" s="253"/>
      <c r="F2035" s="253"/>
      <c r="G2035" s="253"/>
      <c r="H2035" s="253"/>
      <c r="I2035" s="14" t="s">
        <v>3077</v>
      </c>
      <c r="K2035" s="7"/>
      <c r="L2035" s="7"/>
      <c r="M2035" s="7"/>
    </row>
    <row r="2036" spans="2:13" x14ac:dyDescent="0.25">
      <c r="B2036" s="11" t="s">
        <v>389</v>
      </c>
      <c r="C2036" s="252" t="s">
        <v>3078</v>
      </c>
      <c r="D2036" s="252"/>
      <c r="E2036" s="252" t="s">
        <v>678</v>
      </c>
      <c r="F2036" s="252"/>
      <c r="G2036" s="252" t="s">
        <v>390</v>
      </c>
      <c r="H2036" s="252"/>
      <c r="I2036" s="14" t="s">
        <v>3079</v>
      </c>
      <c r="K2036" s="7"/>
      <c r="L2036" s="7"/>
      <c r="M2036" s="7"/>
    </row>
    <row r="2037" spans="2:13" x14ac:dyDescent="0.25">
      <c r="B2037" s="11"/>
      <c r="C2037" s="188"/>
      <c r="D2037" s="188"/>
      <c r="E2037" s="252"/>
      <c r="F2037" s="252"/>
      <c r="G2037" s="252"/>
      <c r="H2037" s="252"/>
      <c r="I2037" s="14" t="s">
        <v>3080</v>
      </c>
      <c r="K2037" s="7"/>
      <c r="L2037" s="7"/>
      <c r="M2037" s="7"/>
    </row>
    <row r="2038" spans="2:13" x14ac:dyDescent="0.25">
      <c r="B2038" s="1" t="s">
        <v>518</v>
      </c>
      <c r="C2038" s="253" t="s">
        <v>3078</v>
      </c>
      <c r="D2038" s="253"/>
      <c r="E2038" s="253" t="s">
        <v>678</v>
      </c>
      <c r="F2038" s="253"/>
      <c r="G2038" s="253" t="s">
        <v>390</v>
      </c>
      <c r="H2038" s="253"/>
      <c r="I2038" s="14" t="s">
        <v>3081</v>
      </c>
      <c r="K2038" s="7"/>
      <c r="L2038" s="7"/>
      <c r="M2038" s="7"/>
    </row>
    <row r="2039" spans="2:13" x14ac:dyDescent="0.25">
      <c r="B2039" s="1"/>
      <c r="C2039" s="189"/>
      <c r="D2039" s="189"/>
      <c r="E2039" s="253"/>
      <c r="F2039" s="253"/>
      <c r="G2039" s="253"/>
      <c r="H2039" s="253"/>
      <c r="I2039" s="14" t="s">
        <v>3082</v>
      </c>
      <c r="K2039" s="7"/>
      <c r="L2039" s="7"/>
      <c r="M2039" s="7"/>
    </row>
    <row r="2040" spans="2:13" x14ac:dyDescent="0.25">
      <c r="B2040" s="11" t="s">
        <v>3083</v>
      </c>
      <c r="C2040" s="265" t="s">
        <v>3078</v>
      </c>
      <c r="D2040" s="265"/>
      <c r="E2040" s="252" t="s">
        <v>678</v>
      </c>
      <c r="F2040" s="252"/>
      <c r="G2040" s="252" t="s">
        <v>390</v>
      </c>
      <c r="H2040" s="252"/>
      <c r="I2040" s="14" t="s">
        <v>3084</v>
      </c>
      <c r="K2040" s="7"/>
      <c r="L2040" s="7"/>
      <c r="M2040" s="7"/>
    </row>
    <row r="2041" spans="2:13" x14ac:dyDescent="0.25">
      <c r="B2041" s="11"/>
      <c r="C2041" s="188"/>
      <c r="D2041" s="188"/>
      <c r="E2041" s="252"/>
      <c r="F2041" s="252"/>
      <c r="G2041" s="252"/>
      <c r="H2041" s="252"/>
      <c r="I2041" s="14" t="s">
        <v>3085</v>
      </c>
    </row>
    <row r="2042" spans="2:13" x14ac:dyDescent="0.25">
      <c r="B2042" s="1" t="s">
        <v>3086</v>
      </c>
      <c r="C2042" s="253" t="s">
        <v>3087</v>
      </c>
      <c r="D2042" s="253"/>
      <c r="E2042" s="253" t="s">
        <v>3088</v>
      </c>
      <c r="F2042" s="253"/>
      <c r="G2042" s="253" t="s">
        <v>3089</v>
      </c>
      <c r="H2042" s="253"/>
      <c r="I2042" s="14" t="s">
        <v>3090</v>
      </c>
    </row>
    <row r="2043" spans="2:13" x14ac:dyDescent="0.25">
      <c r="B2043" s="1"/>
      <c r="C2043" s="253"/>
      <c r="D2043" s="253"/>
      <c r="E2043" s="253"/>
      <c r="F2043" s="253"/>
      <c r="G2043" s="253"/>
      <c r="H2043" s="253"/>
      <c r="I2043" s="14" t="s">
        <v>3091</v>
      </c>
      <c r="J2043" s="14"/>
    </row>
    <row r="2044" spans="2:13" x14ac:dyDescent="0.25">
      <c r="B2044" s="11" t="s">
        <v>3092</v>
      </c>
      <c r="C2044" s="284" t="s">
        <v>3093</v>
      </c>
      <c r="D2044" s="284"/>
      <c r="E2044" s="252" t="s">
        <v>400</v>
      </c>
      <c r="F2044" s="252"/>
      <c r="G2044" s="252" t="s">
        <v>1019</v>
      </c>
      <c r="H2044" s="252"/>
      <c r="I2044" s="14" t="s">
        <v>3094</v>
      </c>
      <c r="J2044" s="14"/>
    </row>
    <row r="2045" spans="2:13" x14ac:dyDescent="0.25">
      <c r="B2045" s="11"/>
      <c r="C2045" s="188"/>
      <c r="D2045" s="188"/>
      <c r="E2045" s="252"/>
      <c r="F2045" s="252"/>
      <c r="G2045" s="252"/>
      <c r="H2045" s="252"/>
      <c r="I2045" s="14" t="s">
        <v>3095</v>
      </c>
      <c r="J2045" s="14"/>
    </row>
    <row r="2046" spans="2:13" x14ac:dyDescent="0.25">
      <c r="B2046" s="1" t="s">
        <v>3096</v>
      </c>
      <c r="C2046" s="253" t="s">
        <v>3087</v>
      </c>
      <c r="D2046" s="253"/>
      <c r="E2046" s="253" t="s">
        <v>3088</v>
      </c>
      <c r="F2046" s="253"/>
      <c r="G2046" s="253" t="s">
        <v>3089</v>
      </c>
      <c r="H2046" s="253"/>
      <c r="I2046" s="14" t="s">
        <v>3097</v>
      </c>
      <c r="J2046" s="14"/>
    </row>
    <row r="2047" spans="2:13" x14ac:dyDescent="0.25">
      <c r="B2047" s="1"/>
      <c r="C2047" s="189"/>
      <c r="D2047" s="189"/>
      <c r="E2047" s="253"/>
      <c r="F2047" s="253"/>
      <c r="G2047" s="253"/>
      <c r="H2047" s="253"/>
      <c r="I2047" s="14" t="s">
        <v>3098</v>
      </c>
      <c r="J2047" s="14"/>
    </row>
    <row r="2048" spans="2:13" x14ac:dyDescent="0.25">
      <c r="B2048" s="11" t="s">
        <v>3099</v>
      </c>
      <c r="C2048" s="252" t="s">
        <v>3100</v>
      </c>
      <c r="D2048" s="252"/>
      <c r="E2048" s="252" t="s">
        <v>3101</v>
      </c>
      <c r="F2048" s="252"/>
      <c r="G2048" s="252" t="s">
        <v>3102</v>
      </c>
      <c r="H2048" s="252"/>
      <c r="I2048" s="14" t="s">
        <v>3103</v>
      </c>
    </row>
    <row r="2049" spans="2:13" x14ac:dyDescent="0.25">
      <c r="B2049" s="11" t="s">
        <v>3104</v>
      </c>
      <c r="C2049" s="13"/>
      <c r="D2049" s="188"/>
      <c r="E2049" s="188"/>
      <c r="F2049" s="188"/>
      <c r="G2049" s="188"/>
      <c r="H2049" s="188"/>
      <c r="I2049" s="14" t="s">
        <v>3105</v>
      </c>
    </row>
    <row r="2050" spans="2:13" x14ac:dyDescent="0.25">
      <c r="B2050" s="1" t="s">
        <v>3106</v>
      </c>
      <c r="C2050" s="253" t="s">
        <v>3087</v>
      </c>
      <c r="D2050" s="253"/>
      <c r="E2050" s="253" t="s">
        <v>3088</v>
      </c>
      <c r="F2050" s="253"/>
      <c r="G2050" s="253" t="s">
        <v>3089</v>
      </c>
      <c r="H2050" s="253"/>
      <c r="I2050" s="14" t="s">
        <v>3107</v>
      </c>
    </row>
    <row r="2051" spans="2:13" x14ac:dyDescent="0.25">
      <c r="B2051" s="1"/>
      <c r="C2051" s="189"/>
      <c r="D2051" s="189"/>
      <c r="E2051" s="189"/>
      <c r="F2051" s="189"/>
      <c r="G2051" s="189"/>
      <c r="H2051" s="189"/>
      <c r="I2051" s="14" t="s">
        <v>3108</v>
      </c>
    </row>
    <row r="2052" spans="2:13" x14ac:dyDescent="0.25">
      <c r="B2052" s="11" t="s">
        <v>1549</v>
      </c>
      <c r="C2052" s="252" t="s">
        <v>3109</v>
      </c>
      <c r="D2052" s="252"/>
      <c r="E2052" s="252" t="s">
        <v>3110</v>
      </c>
      <c r="F2052" s="252"/>
      <c r="G2052" s="252" t="s">
        <v>3111</v>
      </c>
      <c r="H2052" s="252"/>
      <c r="I2052" s="14" t="s">
        <v>3112</v>
      </c>
    </row>
    <row r="2053" spans="2:13" ht="15.75" thickBot="1" x14ac:dyDescent="0.3">
      <c r="B2053" s="11"/>
      <c r="C2053" s="188"/>
      <c r="D2053" s="188"/>
      <c r="E2053" s="188"/>
      <c r="F2053" s="188"/>
      <c r="G2053" s="188"/>
      <c r="H2053" s="188"/>
      <c r="I2053" s="14"/>
    </row>
    <row r="2054" spans="2:13" x14ac:dyDescent="0.25">
      <c r="B2054" s="274" t="s">
        <v>401</v>
      </c>
      <c r="C2054" s="275"/>
      <c r="D2054" s="275"/>
      <c r="E2054" s="275"/>
      <c r="F2054" s="275"/>
      <c r="G2054" s="275"/>
      <c r="H2054" s="275"/>
      <c r="I2054" s="275"/>
      <c r="J2054" s="275"/>
      <c r="K2054" s="275"/>
      <c r="L2054" s="275"/>
      <c r="M2054" s="276"/>
    </row>
    <row r="2055" spans="2:13" x14ac:dyDescent="0.25">
      <c r="B2055" s="3" t="s">
        <v>402</v>
      </c>
      <c r="C2055" s="232" t="s">
        <v>403</v>
      </c>
      <c r="D2055" s="232"/>
      <c r="E2055" s="232" t="s">
        <v>467</v>
      </c>
      <c r="F2055" s="232"/>
      <c r="G2055" s="232" t="s">
        <v>405</v>
      </c>
      <c r="H2055" s="232"/>
      <c r="I2055" s="234" t="s">
        <v>406</v>
      </c>
      <c r="J2055" s="277"/>
      <c r="K2055" s="234" t="s">
        <v>468</v>
      </c>
      <c r="L2055" s="235"/>
      <c r="M2055" s="236"/>
    </row>
    <row r="2056" spans="2:13" ht="15.75" thickBot="1" x14ac:dyDescent="0.3">
      <c r="B2056" s="5"/>
      <c r="C2056" s="237"/>
      <c r="D2056" s="238"/>
      <c r="E2056" s="239">
        <v>0.96350000000000002</v>
      </c>
      <c r="F2056" s="238"/>
      <c r="G2056" s="240"/>
      <c r="H2056" s="240"/>
      <c r="I2056" s="242"/>
      <c r="J2056" s="278"/>
      <c r="K2056" s="242"/>
      <c r="L2056" s="243"/>
      <c r="M2056" s="244"/>
    </row>
    <row r="2057" spans="2:13" ht="15.75" thickBot="1" x14ac:dyDescent="0.3">
      <c r="B2057" s="1"/>
      <c r="C2057" s="1"/>
      <c r="D2057" s="1"/>
      <c r="E2057" s="1"/>
      <c r="F2057" s="1"/>
      <c r="G2057" s="1"/>
      <c r="H2057" s="1"/>
    </row>
    <row r="2058" spans="2:13" x14ac:dyDescent="0.25">
      <c r="B2058" s="274" t="s">
        <v>408</v>
      </c>
      <c r="C2058" s="275"/>
      <c r="D2058" s="275"/>
      <c r="E2058" s="275"/>
      <c r="F2058" s="275"/>
      <c r="G2058" s="275"/>
      <c r="H2058" s="275"/>
      <c r="I2058" s="275"/>
      <c r="J2058" s="275"/>
      <c r="K2058" s="275"/>
      <c r="L2058" s="275"/>
      <c r="M2058" s="276"/>
    </row>
    <row r="2059" spans="2:13" x14ac:dyDescent="0.25">
      <c r="B2059" s="3" t="s">
        <v>3113</v>
      </c>
      <c r="C2059" s="232" t="s">
        <v>3114</v>
      </c>
      <c r="D2059" s="232"/>
      <c r="E2059" s="233" t="s">
        <v>3115</v>
      </c>
      <c r="F2059" s="233"/>
      <c r="G2059" s="233" t="s">
        <v>692</v>
      </c>
      <c r="H2059" s="233"/>
      <c r="I2059" s="279" t="s">
        <v>3116</v>
      </c>
      <c r="J2059" s="280"/>
      <c r="K2059" s="232" t="s">
        <v>3117</v>
      </c>
      <c r="L2059" s="232"/>
      <c r="M2059" s="269"/>
    </row>
    <row r="2060" spans="2:13" ht="15.75" thickBot="1" x14ac:dyDescent="0.3">
      <c r="B2060" s="5" t="s">
        <v>935</v>
      </c>
      <c r="C2060" s="240" t="s">
        <v>3118</v>
      </c>
      <c r="D2060" s="240"/>
      <c r="E2060" s="266" t="s">
        <v>3119</v>
      </c>
      <c r="F2060" s="266"/>
      <c r="G2060" s="240" t="s">
        <v>3120</v>
      </c>
      <c r="H2060" s="240"/>
      <c r="I2060" s="281" t="s">
        <v>3121</v>
      </c>
      <c r="J2060" s="282"/>
      <c r="K2060" s="240" t="s">
        <v>476</v>
      </c>
      <c r="L2060" s="240"/>
      <c r="M2060" s="267"/>
    </row>
    <row r="2062" spans="2:13" ht="23.25" x14ac:dyDescent="0.35">
      <c r="B2062" s="29" t="s">
        <v>334</v>
      </c>
      <c r="C2062" s="229" t="s">
        <v>176</v>
      </c>
      <c r="D2062" s="229"/>
      <c r="E2062" s="229"/>
      <c r="F2062" s="229"/>
      <c r="G2062" s="229"/>
      <c r="H2062" s="229"/>
      <c r="I2062" s="229"/>
      <c r="J2062" s="229"/>
      <c r="K2062" s="229"/>
      <c r="L2062" s="229"/>
    </row>
    <row r="2063" spans="2:13" ht="18.75" x14ac:dyDescent="0.3">
      <c r="B2063" s="12" t="s">
        <v>335</v>
      </c>
      <c r="C2063" s="195" t="s">
        <v>336</v>
      </c>
      <c r="D2063" s="228" t="s">
        <v>427</v>
      </c>
      <c r="E2063" s="228"/>
      <c r="F2063" s="1" t="s">
        <v>2096</v>
      </c>
      <c r="L2063" s="12" t="s">
        <v>339</v>
      </c>
      <c r="M2063" s="6" t="s">
        <v>175</v>
      </c>
    </row>
    <row r="2065" spans="2:13" x14ac:dyDescent="0.25">
      <c r="B2065" s="2" t="s">
        <v>341</v>
      </c>
      <c r="C2065" s="250" t="s">
        <v>805</v>
      </c>
      <c r="D2065" s="250"/>
      <c r="E2065" s="250" t="s">
        <v>1260</v>
      </c>
      <c r="F2065" s="250"/>
      <c r="G2065" s="250" t="s">
        <v>344</v>
      </c>
      <c r="H2065" s="250"/>
      <c r="I2065" s="228" t="s">
        <v>345</v>
      </c>
      <c r="J2065" s="228"/>
      <c r="K2065" s="228"/>
      <c r="L2065" s="228"/>
      <c r="M2065" s="228"/>
    </row>
    <row r="2066" spans="2:13" x14ac:dyDescent="0.25">
      <c r="C2066" s="251"/>
      <c r="D2066" s="251"/>
      <c r="E2066" s="251"/>
      <c r="F2066" s="251"/>
      <c r="G2066" s="251"/>
      <c r="H2066" s="251"/>
      <c r="I2066" s="7"/>
      <c r="J2066" s="7"/>
      <c r="K2066" s="7"/>
      <c r="L2066" s="7"/>
      <c r="M2066" s="7"/>
    </row>
    <row r="2067" spans="2:13" x14ac:dyDescent="0.25">
      <c r="B2067" s="11" t="s">
        <v>3122</v>
      </c>
      <c r="C2067" s="252" t="s">
        <v>1354</v>
      </c>
      <c r="D2067" s="252"/>
      <c r="E2067" s="252" t="s">
        <v>1134</v>
      </c>
      <c r="F2067" s="252"/>
      <c r="G2067" s="252" t="s">
        <v>3123</v>
      </c>
      <c r="H2067" s="252"/>
      <c r="I2067" s="14" t="s">
        <v>3124</v>
      </c>
      <c r="K2067" s="7"/>
      <c r="L2067" s="7"/>
      <c r="M2067" s="7"/>
    </row>
    <row r="2068" spans="2:13" x14ac:dyDescent="0.25">
      <c r="B2068" s="11"/>
      <c r="C2068" s="188"/>
      <c r="D2068" s="188"/>
      <c r="E2068" s="252"/>
      <c r="F2068" s="252"/>
      <c r="G2068" s="252"/>
      <c r="H2068" s="252"/>
      <c r="I2068" s="14" t="s">
        <v>3125</v>
      </c>
      <c r="K2068" s="7"/>
      <c r="L2068" s="7"/>
      <c r="M2068" s="7"/>
    </row>
    <row r="2069" spans="2:13" x14ac:dyDescent="0.25">
      <c r="B2069" s="1" t="s">
        <v>3126</v>
      </c>
      <c r="C2069" s="253" t="s">
        <v>1354</v>
      </c>
      <c r="D2069" s="253"/>
      <c r="E2069" s="253" t="s">
        <v>1134</v>
      </c>
      <c r="F2069" s="253"/>
      <c r="G2069" s="253" t="s">
        <v>3123</v>
      </c>
      <c r="H2069" s="253"/>
      <c r="I2069" s="14" t="s">
        <v>3127</v>
      </c>
      <c r="K2069" s="7"/>
      <c r="L2069" s="7"/>
      <c r="M2069" s="7"/>
    </row>
    <row r="2070" spans="2:13" x14ac:dyDescent="0.25">
      <c r="B2070" s="1"/>
      <c r="C2070" s="189"/>
      <c r="D2070" s="189"/>
      <c r="E2070" s="253"/>
      <c r="F2070" s="253"/>
      <c r="G2070" s="253"/>
      <c r="H2070" s="253"/>
      <c r="I2070" s="14" t="s">
        <v>3128</v>
      </c>
      <c r="K2070" s="7"/>
      <c r="L2070" s="7"/>
      <c r="M2070" s="7"/>
    </row>
    <row r="2071" spans="2:13" x14ac:dyDescent="0.25">
      <c r="B2071" s="11" t="s">
        <v>3129</v>
      </c>
      <c r="C2071" s="252" t="s">
        <v>1354</v>
      </c>
      <c r="D2071" s="252"/>
      <c r="E2071" s="252" t="s">
        <v>1134</v>
      </c>
      <c r="F2071" s="252"/>
      <c r="G2071" s="252" t="s">
        <v>3123</v>
      </c>
      <c r="H2071" s="252"/>
      <c r="I2071" s="14" t="s">
        <v>3130</v>
      </c>
      <c r="K2071" s="7"/>
      <c r="L2071" s="7"/>
      <c r="M2071" s="7"/>
    </row>
    <row r="2072" spans="2:13" x14ac:dyDescent="0.25">
      <c r="B2072" s="11"/>
      <c r="C2072" s="188"/>
      <c r="D2072" s="188"/>
      <c r="E2072" s="252"/>
      <c r="F2072" s="252"/>
      <c r="G2072" s="252"/>
      <c r="H2072" s="252"/>
      <c r="I2072" s="14" t="s">
        <v>3131</v>
      </c>
      <c r="K2072" s="7"/>
      <c r="L2072" s="7"/>
      <c r="M2072" s="7"/>
    </row>
    <row r="2073" spans="2:13" x14ac:dyDescent="0.25">
      <c r="B2073" s="1" t="s">
        <v>2331</v>
      </c>
      <c r="C2073" s="253" t="s">
        <v>1654</v>
      </c>
      <c r="D2073" s="253"/>
      <c r="E2073" s="253" t="s">
        <v>1654</v>
      </c>
      <c r="F2073" s="253"/>
      <c r="G2073" s="253" t="s">
        <v>1654</v>
      </c>
      <c r="H2073" s="253"/>
      <c r="I2073" s="14" t="s">
        <v>3132</v>
      </c>
      <c r="K2073" s="7"/>
      <c r="L2073" s="7"/>
      <c r="M2073" s="7"/>
    </row>
    <row r="2074" spans="2:13" x14ac:dyDescent="0.25">
      <c r="B2074" s="1"/>
      <c r="C2074" s="253"/>
      <c r="D2074" s="253"/>
      <c r="E2074" s="253"/>
      <c r="F2074" s="253"/>
      <c r="G2074" s="253"/>
      <c r="H2074" s="253"/>
      <c r="I2074" s="14" t="s">
        <v>3133</v>
      </c>
      <c r="K2074" s="7"/>
      <c r="L2074" s="7"/>
      <c r="M2074" s="7"/>
    </row>
    <row r="2075" spans="2:13" x14ac:dyDescent="0.25">
      <c r="B2075" s="11" t="s">
        <v>2122</v>
      </c>
      <c r="C2075" s="252" t="s">
        <v>1654</v>
      </c>
      <c r="D2075" s="252"/>
      <c r="E2075" s="252" t="s">
        <v>1654</v>
      </c>
      <c r="F2075" s="252"/>
      <c r="G2075" s="252" t="s">
        <v>1654</v>
      </c>
      <c r="H2075" s="252"/>
      <c r="I2075" s="14" t="s">
        <v>3134</v>
      </c>
      <c r="K2075" s="7"/>
      <c r="L2075" s="7"/>
      <c r="M2075" s="7"/>
    </row>
    <row r="2076" spans="2:13" x14ac:dyDescent="0.25">
      <c r="B2076" s="11"/>
      <c r="C2076" s="188"/>
      <c r="D2076" s="188"/>
      <c r="E2076" s="252"/>
      <c r="F2076" s="252"/>
      <c r="G2076" s="252"/>
      <c r="H2076" s="252"/>
      <c r="I2076" s="14" t="s">
        <v>511</v>
      </c>
      <c r="K2076" s="7"/>
      <c r="L2076" s="7"/>
      <c r="M2076" s="7"/>
    </row>
    <row r="2077" spans="2:13" x14ac:dyDescent="0.25">
      <c r="B2077" s="1" t="s">
        <v>1458</v>
      </c>
      <c r="C2077" s="253" t="s">
        <v>3135</v>
      </c>
      <c r="D2077" s="253"/>
      <c r="E2077" s="253" t="s">
        <v>3136</v>
      </c>
      <c r="F2077" s="253"/>
      <c r="G2077" s="253" t="s">
        <v>3137</v>
      </c>
      <c r="H2077" s="253"/>
      <c r="I2077" s="14" t="s">
        <v>3138</v>
      </c>
      <c r="K2077" s="7"/>
      <c r="L2077" s="7"/>
      <c r="M2077" s="7"/>
    </row>
    <row r="2078" spans="2:13" x14ac:dyDescent="0.25">
      <c r="B2078" s="1"/>
      <c r="C2078" s="189"/>
      <c r="D2078" s="189"/>
      <c r="E2078" s="253"/>
      <c r="F2078" s="253"/>
      <c r="G2078" s="253"/>
      <c r="H2078" s="253"/>
      <c r="I2078" s="14" t="s">
        <v>3139</v>
      </c>
      <c r="K2078" s="7"/>
      <c r="L2078" s="7"/>
      <c r="M2078" s="7"/>
    </row>
    <row r="2079" spans="2:13" x14ac:dyDescent="0.25">
      <c r="B2079" s="11" t="s">
        <v>3140</v>
      </c>
      <c r="C2079" s="265" t="s">
        <v>3123</v>
      </c>
      <c r="D2079" s="265"/>
      <c r="E2079" s="252" t="s">
        <v>3141</v>
      </c>
      <c r="F2079" s="252"/>
      <c r="G2079" s="252" t="s">
        <v>3142</v>
      </c>
      <c r="H2079" s="252"/>
      <c r="I2079" s="14" t="s">
        <v>3143</v>
      </c>
      <c r="K2079" s="7"/>
      <c r="L2079" s="7"/>
      <c r="M2079" s="7"/>
    </row>
    <row r="2080" spans="2:13" x14ac:dyDescent="0.25">
      <c r="B2080" s="11"/>
      <c r="C2080" s="188"/>
      <c r="D2080" s="188"/>
      <c r="E2080" s="252"/>
      <c r="F2080" s="252"/>
      <c r="G2080" s="252"/>
      <c r="H2080" s="252"/>
      <c r="I2080" s="14"/>
    </row>
    <row r="2081" spans="2:10" x14ac:dyDescent="0.25">
      <c r="B2081" s="1" t="s">
        <v>1207</v>
      </c>
      <c r="C2081" s="253" t="s">
        <v>1928</v>
      </c>
      <c r="D2081" s="253"/>
      <c r="E2081" s="253" t="s">
        <v>3144</v>
      </c>
      <c r="F2081" s="253"/>
      <c r="G2081" s="253" t="s">
        <v>3145</v>
      </c>
      <c r="H2081" s="253"/>
      <c r="I2081" s="14"/>
    </row>
    <row r="2082" spans="2:10" x14ac:dyDescent="0.25">
      <c r="B2082" s="1"/>
      <c r="C2082" s="253"/>
      <c r="D2082" s="253"/>
      <c r="E2082" s="253"/>
      <c r="F2082" s="253"/>
      <c r="G2082" s="253"/>
      <c r="H2082" s="253"/>
      <c r="I2082" s="14"/>
      <c r="J2082" s="14"/>
    </row>
    <row r="2083" spans="2:10" x14ac:dyDescent="0.25">
      <c r="B2083" s="11" t="s">
        <v>3146</v>
      </c>
      <c r="C2083" s="252" t="s">
        <v>3147</v>
      </c>
      <c r="D2083" s="252"/>
      <c r="E2083" s="252" t="s">
        <v>3148</v>
      </c>
      <c r="F2083" s="252"/>
      <c r="G2083" s="252" t="s">
        <v>3149</v>
      </c>
      <c r="H2083" s="252"/>
      <c r="I2083" s="14"/>
      <c r="J2083" s="14"/>
    </row>
    <row r="2084" spans="2:10" x14ac:dyDescent="0.25">
      <c r="B2084" s="11"/>
      <c r="C2084" s="188"/>
      <c r="D2084" s="188"/>
      <c r="E2084" s="252"/>
      <c r="F2084" s="252"/>
      <c r="G2084" s="252"/>
      <c r="H2084" s="252"/>
      <c r="I2084" s="14"/>
      <c r="J2084" s="14"/>
    </row>
    <row r="2085" spans="2:10" x14ac:dyDescent="0.25">
      <c r="B2085" s="1" t="s">
        <v>2240</v>
      </c>
      <c r="C2085" s="253" t="s">
        <v>962</v>
      </c>
      <c r="D2085" s="253"/>
      <c r="E2085" s="253" t="s">
        <v>2482</v>
      </c>
      <c r="F2085" s="253"/>
      <c r="G2085" s="253" t="s">
        <v>3150</v>
      </c>
      <c r="H2085" s="253"/>
      <c r="I2085" s="14"/>
      <c r="J2085" s="14"/>
    </row>
    <row r="2086" spans="2:10" x14ac:dyDescent="0.25">
      <c r="B2086" s="1"/>
      <c r="C2086" s="189"/>
      <c r="D2086" s="189"/>
      <c r="E2086" s="253"/>
      <c r="F2086" s="253"/>
      <c r="G2086" s="253"/>
      <c r="H2086" s="253"/>
      <c r="I2086" s="14"/>
      <c r="J2086" s="14"/>
    </row>
    <row r="2087" spans="2:10" x14ac:dyDescent="0.25">
      <c r="B2087" s="11" t="s">
        <v>2217</v>
      </c>
      <c r="C2087" s="252" t="s">
        <v>3136</v>
      </c>
      <c r="D2087" s="252"/>
      <c r="E2087" s="252" t="s">
        <v>3151</v>
      </c>
      <c r="F2087" s="252"/>
      <c r="G2087" s="252" t="s">
        <v>3152</v>
      </c>
      <c r="H2087" s="252"/>
      <c r="I2087" s="14"/>
    </row>
    <row r="2088" spans="2:10" x14ac:dyDescent="0.25">
      <c r="B2088" s="11"/>
      <c r="C2088" s="13"/>
      <c r="D2088" s="188"/>
      <c r="E2088" s="188"/>
      <c r="F2088" s="188"/>
      <c r="G2088" s="188"/>
      <c r="H2088" s="188"/>
      <c r="I2088" s="14"/>
    </row>
    <row r="2089" spans="2:10" x14ac:dyDescent="0.25">
      <c r="B2089" s="1" t="s">
        <v>3153</v>
      </c>
      <c r="C2089" s="253" t="s">
        <v>3154</v>
      </c>
      <c r="D2089" s="253"/>
      <c r="E2089" s="253" t="s">
        <v>3155</v>
      </c>
      <c r="F2089" s="253"/>
      <c r="G2089" s="253" t="s">
        <v>3156</v>
      </c>
      <c r="H2089" s="253"/>
      <c r="I2089" s="14"/>
    </row>
    <row r="2090" spans="2:10" x14ac:dyDescent="0.25">
      <c r="B2090" s="1"/>
      <c r="C2090" s="189"/>
      <c r="D2090" s="189"/>
      <c r="E2090" s="189"/>
      <c r="F2090" s="189"/>
      <c r="G2090" s="189"/>
      <c r="H2090" s="189"/>
      <c r="I2090" s="14"/>
    </row>
    <row r="2091" spans="2:10" x14ac:dyDescent="0.25">
      <c r="B2091" s="11" t="s">
        <v>2223</v>
      </c>
      <c r="C2091" s="252" t="s">
        <v>3135</v>
      </c>
      <c r="D2091" s="252"/>
      <c r="E2091" s="252" t="s">
        <v>3136</v>
      </c>
      <c r="F2091" s="252"/>
      <c r="G2091" s="252" t="s">
        <v>3137</v>
      </c>
      <c r="H2091" s="252"/>
      <c r="I2091" s="14"/>
    </row>
    <row r="2092" spans="2:10" x14ac:dyDescent="0.25">
      <c r="B2092" s="11"/>
      <c r="C2092" s="188"/>
      <c r="D2092" s="188"/>
      <c r="E2092" s="188"/>
      <c r="F2092" s="188"/>
      <c r="G2092" s="188"/>
      <c r="H2092" s="188"/>
      <c r="I2092" s="14"/>
    </row>
    <row r="2093" spans="2:10" x14ac:dyDescent="0.25">
      <c r="B2093" s="32" t="s">
        <v>3157</v>
      </c>
      <c r="C2093" s="255" t="s">
        <v>3135</v>
      </c>
      <c r="D2093" s="255"/>
      <c r="E2093" s="253" t="s">
        <v>3136</v>
      </c>
      <c r="F2093" s="253"/>
      <c r="G2093" s="253" t="s">
        <v>3137</v>
      </c>
      <c r="H2093" s="253"/>
      <c r="I2093" s="14"/>
    </row>
    <row r="2094" spans="2:10" x14ac:dyDescent="0.25">
      <c r="B2094" s="32"/>
      <c r="C2094" s="191"/>
      <c r="D2094" s="191"/>
      <c r="E2094" s="191"/>
      <c r="F2094" s="191"/>
      <c r="G2094" s="191"/>
      <c r="H2094" s="191"/>
      <c r="I2094" s="14"/>
    </row>
    <row r="2095" spans="2:10" x14ac:dyDescent="0.25">
      <c r="B2095" s="11" t="s">
        <v>397</v>
      </c>
      <c r="C2095" s="252" t="s">
        <v>2488</v>
      </c>
      <c r="D2095" s="252"/>
      <c r="E2095" s="252" t="s">
        <v>3158</v>
      </c>
      <c r="F2095" s="252"/>
      <c r="G2095" s="252" t="s">
        <v>3159</v>
      </c>
      <c r="H2095" s="252"/>
      <c r="I2095" s="14"/>
    </row>
    <row r="2096" spans="2:10" x14ac:dyDescent="0.25">
      <c r="B2096" s="11"/>
      <c r="C2096" s="188"/>
      <c r="D2096" s="188"/>
      <c r="E2096" s="188"/>
      <c r="F2096" s="188"/>
      <c r="G2096" s="188"/>
      <c r="H2096" s="188"/>
      <c r="I2096" s="14"/>
    </row>
    <row r="2097" spans="2:13" x14ac:dyDescent="0.25">
      <c r="B2097" s="32" t="s">
        <v>3160</v>
      </c>
      <c r="C2097" s="255" t="s">
        <v>3135</v>
      </c>
      <c r="D2097" s="255"/>
      <c r="E2097" s="253" t="s">
        <v>3136</v>
      </c>
      <c r="F2097" s="253"/>
      <c r="G2097" s="253" t="s">
        <v>3137</v>
      </c>
      <c r="H2097" s="253"/>
      <c r="I2097" s="14"/>
    </row>
    <row r="2098" spans="2:13" ht="15.75" thickBot="1" x14ac:dyDescent="0.3">
      <c r="B2098" s="32"/>
      <c r="C2098" s="191"/>
      <c r="D2098" s="191"/>
      <c r="E2098" s="191"/>
      <c r="F2098" s="191"/>
      <c r="G2098" s="191"/>
      <c r="H2098" s="191"/>
      <c r="I2098" s="14"/>
    </row>
    <row r="2099" spans="2:13" x14ac:dyDescent="0.25">
      <c r="B2099" s="274" t="s">
        <v>401</v>
      </c>
      <c r="C2099" s="275"/>
      <c r="D2099" s="275"/>
      <c r="E2099" s="275"/>
      <c r="F2099" s="275"/>
      <c r="G2099" s="275"/>
      <c r="H2099" s="275"/>
      <c r="I2099" s="275"/>
      <c r="J2099" s="275"/>
      <c r="K2099" s="275"/>
      <c r="L2099" s="275"/>
      <c r="M2099" s="276"/>
    </row>
    <row r="2100" spans="2:13" x14ac:dyDescent="0.25">
      <c r="B2100" s="3" t="s">
        <v>402</v>
      </c>
      <c r="C2100" s="232" t="s">
        <v>403</v>
      </c>
      <c r="D2100" s="232"/>
      <c r="E2100" s="232" t="s">
        <v>467</v>
      </c>
      <c r="F2100" s="232"/>
      <c r="G2100" s="232" t="s">
        <v>405</v>
      </c>
      <c r="H2100" s="232"/>
      <c r="I2100" s="234" t="s">
        <v>406</v>
      </c>
      <c r="J2100" s="277"/>
      <c r="K2100" s="234" t="s">
        <v>468</v>
      </c>
      <c r="L2100" s="235"/>
      <c r="M2100" s="236"/>
    </row>
    <row r="2101" spans="2:13" ht="15.75" thickBot="1" x14ac:dyDescent="0.3">
      <c r="B2101" s="5">
        <v>2</v>
      </c>
      <c r="C2101" s="237"/>
      <c r="D2101" s="238"/>
      <c r="E2101" s="239">
        <v>1.488</v>
      </c>
      <c r="F2101" s="238"/>
      <c r="G2101" s="240"/>
      <c r="H2101" s="240"/>
      <c r="I2101" s="242"/>
      <c r="J2101" s="278"/>
      <c r="K2101" s="242"/>
      <c r="L2101" s="243"/>
      <c r="M2101" s="244"/>
    </row>
    <row r="2102" spans="2:13" ht="15.75" thickBot="1" x14ac:dyDescent="0.3">
      <c r="B2102" s="1"/>
      <c r="C2102" s="1"/>
      <c r="D2102" s="1"/>
      <c r="E2102" s="1"/>
      <c r="F2102" s="1"/>
      <c r="G2102" s="1"/>
      <c r="H2102" s="1"/>
    </row>
    <row r="2103" spans="2:13" x14ac:dyDescent="0.25">
      <c r="B2103" s="274" t="s">
        <v>408</v>
      </c>
      <c r="C2103" s="275"/>
      <c r="D2103" s="275"/>
      <c r="E2103" s="275"/>
      <c r="F2103" s="275"/>
      <c r="G2103" s="275"/>
      <c r="H2103" s="275"/>
      <c r="I2103" s="275"/>
      <c r="J2103" s="275"/>
      <c r="K2103" s="275"/>
      <c r="L2103" s="275"/>
      <c r="M2103" s="276"/>
    </row>
    <row r="2104" spans="2:13" x14ac:dyDescent="0.25">
      <c r="B2104" s="3" t="s">
        <v>1056</v>
      </c>
      <c r="C2104" s="232" t="s">
        <v>3161</v>
      </c>
      <c r="D2104" s="232"/>
      <c r="E2104" s="233" t="s">
        <v>3162</v>
      </c>
      <c r="F2104" s="233"/>
      <c r="G2104" s="233" t="s">
        <v>3163</v>
      </c>
      <c r="H2104" s="233"/>
      <c r="I2104" s="279" t="s">
        <v>3164</v>
      </c>
      <c r="J2104" s="280"/>
      <c r="K2104" s="232" t="s">
        <v>3165</v>
      </c>
      <c r="L2104" s="232"/>
      <c r="M2104" s="269"/>
    </row>
    <row r="2105" spans="2:13" ht="15.75" thickBot="1" x14ac:dyDescent="0.3">
      <c r="B2105" s="5" t="s">
        <v>3166</v>
      </c>
      <c r="C2105" s="240" t="s">
        <v>3167</v>
      </c>
      <c r="D2105" s="240"/>
      <c r="E2105" s="266" t="s">
        <v>3168</v>
      </c>
      <c r="F2105" s="266"/>
      <c r="G2105" s="240" t="s">
        <v>3169</v>
      </c>
      <c r="H2105" s="240"/>
      <c r="I2105" s="281" t="s">
        <v>3170</v>
      </c>
      <c r="J2105" s="282"/>
      <c r="K2105" s="240" t="s">
        <v>3171</v>
      </c>
      <c r="L2105" s="240"/>
      <c r="M2105" s="267"/>
    </row>
    <row r="2107" spans="2:13" ht="23.25" x14ac:dyDescent="0.35">
      <c r="B2107" s="29" t="s">
        <v>334</v>
      </c>
      <c r="C2107" s="229" t="s">
        <v>184</v>
      </c>
      <c r="D2107" s="229"/>
      <c r="E2107" s="229"/>
      <c r="F2107" s="229"/>
      <c r="G2107" s="229"/>
      <c r="H2107" s="229"/>
      <c r="I2107" s="229"/>
      <c r="J2107" s="229"/>
      <c r="K2107" s="229"/>
      <c r="L2107" s="229"/>
    </row>
    <row r="2108" spans="2:13" ht="18.75" x14ac:dyDescent="0.3">
      <c r="B2108" s="12" t="s">
        <v>335</v>
      </c>
      <c r="C2108" s="283" t="s">
        <v>3172</v>
      </c>
      <c r="D2108" s="283"/>
      <c r="F2108" s="228" t="s">
        <v>427</v>
      </c>
      <c r="G2108" s="228"/>
      <c r="H2108" s="1" t="s">
        <v>3173</v>
      </c>
      <c r="L2108" s="12" t="s">
        <v>339</v>
      </c>
      <c r="M2108" s="6" t="s">
        <v>183</v>
      </c>
    </row>
    <row r="2110" spans="2:13" x14ac:dyDescent="0.25">
      <c r="B2110" s="2" t="s">
        <v>341</v>
      </c>
      <c r="C2110" s="250" t="s">
        <v>3174</v>
      </c>
      <c r="D2110" s="250"/>
      <c r="E2110" s="250" t="s">
        <v>343</v>
      </c>
      <c r="F2110" s="250"/>
      <c r="G2110" s="250" t="s">
        <v>344</v>
      </c>
      <c r="H2110" s="250"/>
      <c r="I2110" s="228" t="s">
        <v>345</v>
      </c>
      <c r="J2110" s="228"/>
      <c r="K2110" s="228"/>
      <c r="L2110" s="228"/>
      <c r="M2110" s="228"/>
    </row>
    <row r="2111" spans="2:13" x14ac:dyDescent="0.25">
      <c r="C2111" s="251"/>
      <c r="D2111" s="251"/>
      <c r="E2111" s="251"/>
      <c r="F2111" s="251"/>
      <c r="G2111" s="251"/>
      <c r="H2111" s="251"/>
      <c r="I2111" s="7"/>
      <c r="J2111" s="7"/>
      <c r="K2111" s="7"/>
      <c r="L2111" s="7"/>
      <c r="M2111" s="7"/>
    </row>
    <row r="2112" spans="2:13" x14ac:dyDescent="0.25">
      <c r="B2112" s="11" t="s">
        <v>3175</v>
      </c>
      <c r="C2112" s="252" t="s">
        <v>3176</v>
      </c>
      <c r="D2112" s="252"/>
      <c r="E2112" s="252" t="s">
        <v>3177</v>
      </c>
      <c r="F2112" s="252"/>
      <c r="G2112" s="252" t="s">
        <v>3178</v>
      </c>
      <c r="H2112" s="252"/>
      <c r="I2112" s="14" t="s">
        <v>3179</v>
      </c>
      <c r="K2112" s="7"/>
      <c r="L2112" s="7"/>
      <c r="M2112" s="7"/>
    </row>
    <row r="2113" spans="2:13" x14ac:dyDescent="0.25">
      <c r="B2113" s="11" t="s">
        <v>3180</v>
      </c>
      <c r="C2113" s="252" t="s">
        <v>3181</v>
      </c>
      <c r="D2113" s="252"/>
      <c r="E2113" s="252" t="s">
        <v>3182</v>
      </c>
      <c r="F2113" s="252"/>
      <c r="G2113" s="252" t="s">
        <v>3183</v>
      </c>
      <c r="H2113" s="252"/>
      <c r="I2113" s="14" t="s">
        <v>3184</v>
      </c>
      <c r="K2113" s="7"/>
      <c r="L2113" s="7"/>
      <c r="M2113" s="7"/>
    </row>
    <row r="2114" spans="2:13" x14ac:dyDescent="0.25">
      <c r="B2114" s="1" t="s">
        <v>1122</v>
      </c>
      <c r="C2114" s="253" t="s">
        <v>602</v>
      </c>
      <c r="D2114" s="253"/>
      <c r="E2114" s="253" t="s">
        <v>2944</v>
      </c>
      <c r="F2114" s="253"/>
      <c r="G2114" s="253" t="s">
        <v>3185</v>
      </c>
      <c r="H2114" s="253"/>
      <c r="I2114" s="14" t="s">
        <v>3186</v>
      </c>
      <c r="K2114" s="7"/>
      <c r="L2114" s="7"/>
      <c r="M2114" s="7"/>
    </row>
    <row r="2115" spans="2:13" x14ac:dyDescent="0.25">
      <c r="B2115" s="1"/>
      <c r="C2115" s="189"/>
      <c r="D2115" s="189"/>
      <c r="E2115" s="253"/>
      <c r="F2115" s="253"/>
      <c r="G2115" s="253"/>
      <c r="H2115" s="253"/>
      <c r="I2115" s="14" t="s">
        <v>3187</v>
      </c>
      <c r="K2115" s="7"/>
      <c r="L2115" s="7"/>
      <c r="M2115" s="7"/>
    </row>
    <row r="2116" spans="2:13" x14ac:dyDescent="0.25">
      <c r="B2116" s="11" t="s">
        <v>1458</v>
      </c>
      <c r="C2116" s="252" t="s">
        <v>1194</v>
      </c>
      <c r="D2116" s="252"/>
      <c r="E2116" s="252" t="s">
        <v>1209</v>
      </c>
      <c r="F2116" s="252"/>
      <c r="G2116" s="252" t="s">
        <v>1756</v>
      </c>
      <c r="H2116" s="252"/>
      <c r="I2116" s="14" t="s">
        <v>3188</v>
      </c>
      <c r="K2116" s="7"/>
      <c r="L2116" s="7"/>
      <c r="M2116" s="7"/>
    </row>
    <row r="2117" spans="2:13" x14ac:dyDescent="0.25">
      <c r="B2117" s="11"/>
      <c r="C2117" s="188"/>
      <c r="D2117" s="188"/>
      <c r="E2117" s="252"/>
      <c r="F2117" s="252"/>
      <c r="G2117" s="252"/>
      <c r="H2117" s="252"/>
      <c r="I2117" s="14" t="s">
        <v>3189</v>
      </c>
      <c r="K2117" s="7"/>
      <c r="L2117" s="7"/>
      <c r="M2117" s="7"/>
    </row>
    <row r="2118" spans="2:13" x14ac:dyDescent="0.25">
      <c r="B2118" s="1" t="s">
        <v>1512</v>
      </c>
      <c r="C2118" s="253" t="s">
        <v>390</v>
      </c>
      <c r="D2118" s="253"/>
      <c r="E2118" s="253" t="s">
        <v>392</v>
      </c>
      <c r="F2118" s="253"/>
      <c r="G2118" s="253" t="s">
        <v>374</v>
      </c>
      <c r="H2118" s="253"/>
      <c r="I2118" s="14" t="s">
        <v>3190</v>
      </c>
      <c r="K2118" s="7"/>
      <c r="L2118" s="7"/>
      <c r="M2118" s="7"/>
    </row>
    <row r="2119" spans="2:13" x14ac:dyDescent="0.25">
      <c r="B2119" s="1"/>
      <c r="C2119" s="253"/>
      <c r="D2119" s="253"/>
      <c r="E2119" s="253"/>
      <c r="F2119" s="253"/>
      <c r="G2119" s="253"/>
      <c r="H2119" s="253"/>
      <c r="I2119" s="14" t="s">
        <v>3191</v>
      </c>
      <c r="K2119" s="7"/>
      <c r="L2119" s="7"/>
      <c r="M2119" s="7"/>
    </row>
    <row r="2120" spans="2:13" x14ac:dyDescent="0.25">
      <c r="B2120" s="11" t="s">
        <v>2108</v>
      </c>
      <c r="C2120" s="252" t="s">
        <v>390</v>
      </c>
      <c r="D2120" s="252"/>
      <c r="E2120" s="252" t="s">
        <v>392</v>
      </c>
      <c r="F2120" s="252"/>
      <c r="G2120" s="252" t="s">
        <v>374</v>
      </c>
      <c r="H2120" s="252"/>
      <c r="I2120" s="14" t="s">
        <v>3192</v>
      </c>
      <c r="K2120" s="7"/>
      <c r="L2120" s="7"/>
      <c r="M2120" s="7"/>
    </row>
    <row r="2121" spans="2:13" x14ac:dyDescent="0.25">
      <c r="B2121" s="11"/>
      <c r="C2121" s="188"/>
      <c r="D2121" s="188"/>
      <c r="E2121" s="252"/>
      <c r="F2121" s="252"/>
      <c r="G2121" s="252"/>
      <c r="H2121" s="252"/>
      <c r="I2121" s="14" t="s">
        <v>3193</v>
      </c>
      <c r="K2121" s="7"/>
      <c r="L2121" s="7"/>
      <c r="M2121" s="7"/>
    </row>
    <row r="2122" spans="2:13" x14ac:dyDescent="0.25">
      <c r="B2122" s="1" t="s">
        <v>2122</v>
      </c>
      <c r="C2122" s="253" t="s">
        <v>744</v>
      </c>
      <c r="D2122" s="253"/>
      <c r="E2122" s="253" t="s">
        <v>1131</v>
      </c>
      <c r="F2122" s="253"/>
      <c r="G2122" s="253" t="s">
        <v>1050</v>
      </c>
      <c r="H2122" s="253"/>
      <c r="I2122" s="14" t="s">
        <v>3194</v>
      </c>
      <c r="K2122" s="7"/>
      <c r="L2122" s="7"/>
      <c r="M2122" s="7"/>
    </row>
    <row r="2123" spans="2:13" x14ac:dyDescent="0.25">
      <c r="B2123" s="1"/>
      <c r="C2123" s="189"/>
      <c r="D2123" s="189"/>
      <c r="E2123" s="253"/>
      <c r="F2123" s="253"/>
      <c r="G2123" s="253"/>
      <c r="H2123" s="253"/>
      <c r="I2123" s="14" t="s">
        <v>3195</v>
      </c>
      <c r="K2123" s="7"/>
      <c r="L2123" s="7"/>
      <c r="M2123" s="7"/>
    </row>
    <row r="2124" spans="2:13" x14ac:dyDescent="0.25">
      <c r="B2124" s="11" t="s">
        <v>3196</v>
      </c>
      <c r="C2124" s="265" t="s">
        <v>1497</v>
      </c>
      <c r="D2124" s="265"/>
      <c r="E2124" s="252" t="s">
        <v>1756</v>
      </c>
      <c r="F2124" s="252"/>
      <c r="G2124" s="252" t="s">
        <v>3197</v>
      </c>
      <c r="H2124" s="252"/>
      <c r="I2124" s="14" t="s">
        <v>3198</v>
      </c>
      <c r="K2124" s="7"/>
      <c r="L2124" s="7"/>
      <c r="M2124" s="7"/>
    </row>
    <row r="2125" spans="2:13" x14ac:dyDescent="0.25">
      <c r="B2125" s="11"/>
      <c r="C2125" s="188"/>
      <c r="D2125" s="188"/>
      <c r="E2125" s="252"/>
      <c r="F2125" s="252"/>
      <c r="G2125" s="252"/>
      <c r="H2125" s="252"/>
      <c r="I2125" s="14" t="s">
        <v>3199</v>
      </c>
    </row>
    <row r="2126" spans="2:13" x14ac:dyDescent="0.25">
      <c r="B2126" s="1" t="s">
        <v>3200</v>
      </c>
      <c r="C2126" s="253" t="s">
        <v>1497</v>
      </c>
      <c r="D2126" s="253"/>
      <c r="E2126" s="253" t="s">
        <v>1756</v>
      </c>
      <c r="F2126" s="253"/>
      <c r="G2126" s="253" t="s">
        <v>3197</v>
      </c>
      <c r="H2126" s="253"/>
      <c r="I2126" s="14"/>
    </row>
    <row r="2127" spans="2:13" ht="15.75" thickBot="1" x14ac:dyDescent="0.3">
      <c r="B2127" s="1"/>
      <c r="C2127" s="253"/>
      <c r="D2127" s="253"/>
      <c r="E2127" s="253"/>
      <c r="F2127" s="253"/>
      <c r="G2127" s="253"/>
      <c r="H2127" s="253"/>
      <c r="I2127" s="14"/>
      <c r="J2127" s="14"/>
    </row>
    <row r="2128" spans="2:13" x14ac:dyDescent="0.25">
      <c r="B2128" s="274" t="s">
        <v>401</v>
      </c>
      <c r="C2128" s="275"/>
      <c r="D2128" s="275"/>
      <c r="E2128" s="275"/>
      <c r="F2128" s="275"/>
      <c r="G2128" s="275"/>
      <c r="H2128" s="275"/>
      <c r="I2128" s="275"/>
      <c r="J2128" s="275"/>
      <c r="K2128" s="275"/>
      <c r="L2128" s="275"/>
      <c r="M2128" s="276"/>
    </row>
    <row r="2129" spans="2:13" x14ac:dyDescent="0.25">
      <c r="B2129" s="3" t="s">
        <v>402</v>
      </c>
      <c r="C2129" s="232" t="s">
        <v>403</v>
      </c>
      <c r="D2129" s="232"/>
      <c r="E2129" s="232" t="s">
        <v>467</v>
      </c>
      <c r="F2129" s="232"/>
      <c r="G2129" s="232" t="s">
        <v>405</v>
      </c>
      <c r="H2129" s="232"/>
      <c r="I2129" s="234" t="s">
        <v>406</v>
      </c>
      <c r="J2129" s="277"/>
      <c r="K2129" s="234" t="s">
        <v>468</v>
      </c>
      <c r="L2129" s="235"/>
      <c r="M2129" s="236"/>
    </row>
    <row r="2130" spans="2:13" ht="15.75" thickBot="1" x14ac:dyDescent="0.3">
      <c r="B2130" s="5">
        <v>1.5</v>
      </c>
      <c r="C2130" s="237"/>
      <c r="D2130" s="238"/>
      <c r="E2130" s="239"/>
      <c r="F2130" s="238"/>
      <c r="G2130" s="240"/>
      <c r="H2130" s="240"/>
      <c r="I2130" s="242"/>
      <c r="J2130" s="278"/>
      <c r="K2130" s="242"/>
      <c r="L2130" s="243"/>
      <c r="M2130" s="244"/>
    </row>
    <row r="2131" spans="2:13" ht="15.75" thickBot="1" x14ac:dyDescent="0.3">
      <c r="B2131" s="1"/>
      <c r="C2131" s="1"/>
      <c r="D2131" s="1"/>
      <c r="E2131" s="1"/>
      <c r="F2131" s="1"/>
      <c r="G2131" s="1"/>
      <c r="H2131" s="1"/>
    </row>
    <row r="2132" spans="2:13" x14ac:dyDescent="0.25">
      <c r="B2132" s="274" t="s">
        <v>408</v>
      </c>
      <c r="C2132" s="275"/>
      <c r="D2132" s="275"/>
      <c r="E2132" s="275"/>
      <c r="F2132" s="275"/>
      <c r="G2132" s="275"/>
      <c r="H2132" s="275"/>
      <c r="I2132" s="275"/>
      <c r="J2132" s="275"/>
      <c r="K2132" s="275"/>
      <c r="L2132" s="275"/>
      <c r="M2132" s="276"/>
    </row>
    <row r="2133" spans="2:13" x14ac:dyDescent="0.25">
      <c r="B2133" s="3" t="s">
        <v>3201</v>
      </c>
      <c r="C2133" s="232" t="s">
        <v>3202</v>
      </c>
      <c r="D2133" s="232"/>
      <c r="E2133" s="233" t="s">
        <v>3115</v>
      </c>
      <c r="F2133" s="233"/>
      <c r="G2133" s="233" t="s">
        <v>692</v>
      </c>
      <c r="H2133" s="233"/>
      <c r="I2133" s="279" t="s">
        <v>3203</v>
      </c>
      <c r="J2133" s="280"/>
      <c r="K2133" s="232" t="s">
        <v>3204</v>
      </c>
      <c r="L2133" s="232"/>
      <c r="M2133" s="269"/>
    </row>
    <row r="2134" spans="2:13" ht="15.75" thickBot="1" x14ac:dyDescent="0.3">
      <c r="B2134" s="5" t="s">
        <v>2819</v>
      </c>
      <c r="C2134" s="240" t="s">
        <v>3205</v>
      </c>
      <c r="D2134" s="240"/>
      <c r="E2134" s="266" t="s">
        <v>3206</v>
      </c>
      <c r="F2134" s="266"/>
      <c r="G2134" s="240" t="s">
        <v>3207</v>
      </c>
      <c r="H2134" s="240"/>
      <c r="I2134" s="281" t="s">
        <v>3208</v>
      </c>
      <c r="J2134" s="282"/>
      <c r="K2134" s="240" t="s">
        <v>3209</v>
      </c>
      <c r="L2134" s="240"/>
      <c r="M2134" s="267"/>
    </row>
    <row r="2136" spans="2:13" ht="23.25" x14ac:dyDescent="0.35">
      <c r="B2136" s="29" t="s">
        <v>334</v>
      </c>
      <c r="C2136" s="229" t="s">
        <v>192</v>
      </c>
      <c r="D2136" s="229"/>
      <c r="E2136" s="229"/>
      <c r="F2136" s="229"/>
      <c r="G2136" s="229"/>
      <c r="H2136" s="229"/>
      <c r="I2136" s="229"/>
      <c r="J2136" s="229"/>
    </row>
    <row r="2137" spans="2:13" ht="18.75" x14ac:dyDescent="0.3">
      <c r="B2137" s="12" t="s">
        <v>335</v>
      </c>
      <c r="C2137" s="195" t="s">
        <v>336</v>
      </c>
      <c r="D2137" s="228" t="s">
        <v>427</v>
      </c>
      <c r="E2137" s="228"/>
      <c r="F2137" s="14" t="s">
        <v>3173</v>
      </c>
      <c r="L2137" s="12" t="s">
        <v>339</v>
      </c>
      <c r="M2137" s="6" t="s">
        <v>191</v>
      </c>
    </row>
    <row r="2139" spans="2:13" x14ac:dyDescent="0.25">
      <c r="B2139" s="2" t="s">
        <v>341</v>
      </c>
      <c r="C2139" s="250" t="s">
        <v>342</v>
      </c>
      <c r="D2139" s="250"/>
      <c r="E2139" s="250" t="s">
        <v>1260</v>
      </c>
      <c r="F2139" s="250"/>
      <c r="G2139" s="250" t="s">
        <v>954</v>
      </c>
      <c r="H2139" s="250"/>
      <c r="I2139" s="228" t="s">
        <v>345</v>
      </c>
      <c r="J2139" s="228"/>
      <c r="K2139" s="228"/>
      <c r="L2139" s="228"/>
      <c r="M2139" s="228"/>
    </row>
    <row r="2140" spans="2:13" x14ac:dyDescent="0.25">
      <c r="C2140" s="251"/>
      <c r="D2140" s="251"/>
      <c r="E2140" s="251"/>
      <c r="F2140" s="251"/>
      <c r="G2140" s="251"/>
      <c r="H2140" s="251"/>
      <c r="I2140" s="7"/>
      <c r="J2140" s="7"/>
      <c r="K2140" s="7"/>
      <c r="L2140" s="7"/>
      <c r="M2140" s="7"/>
    </row>
    <row r="2141" spans="2:13" x14ac:dyDescent="0.25">
      <c r="B2141" s="11" t="s">
        <v>3210</v>
      </c>
      <c r="C2141" s="252" t="s">
        <v>3211</v>
      </c>
      <c r="D2141" s="252"/>
      <c r="E2141" s="252" t="s">
        <v>3212</v>
      </c>
      <c r="F2141" s="252"/>
      <c r="G2141" s="252" t="s">
        <v>3213</v>
      </c>
      <c r="H2141" s="252"/>
      <c r="I2141" s="14" t="s">
        <v>3214</v>
      </c>
      <c r="J2141" s="7"/>
      <c r="K2141" s="7"/>
      <c r="L2141" s="7"/>
      <c r="M2141" s="7"/>
    </row>
    <row r="2142" spans="2:13" x14ac:dyDescent="0.25">
      <c r="B2142" s="11"/>
      <c r="C2142" s="188"/>
      <c r="D2142" s="188"/>
      <c r="E2142" s="252"/>
      <c r="F2142" s="252"/>
      <c r="G2142" s="252"/>
      <c r="H2142" s="252"/>
      <c r="I2142" s="14" t="s">
        <v>3215</v>
      </c>
      <c r="J2142" s="7"/>
      <c r="K2142" s="7"/>
      <c r="L2142" s="7"/>
      <c r="M2142" s="7"/>
    </row>
    <row r="2143" spans="2:13" x14ac:dyDescent="0.25">
      <c r="B2143" s="1" t="s">
        <v>397</v>
      </c>
      <c r="C2143" s="253" t="s">
        <v>3216</v>
      </c>
      <c r="D2143" s="253"/>
      <c r="E2143" s="253" t="s">
        <v>1635</v>
      </c>
      <c r="F2143" s="253"/>
      <c r="G2143" s="253" t="s">
        <v>2237</v>
      </c>
      <c r="H2143" s="253"/>
      <c r="I2143" s="14" t="s">
        <v>3217</v>
      </c>
      <c r="J2143" s="7"/>
      <c r="K2143" s="7"/>
      <c r="L2143" s="7"/>
      <c r="M2143" s="7"/>
    </row>
    <row r="2144" spans="2:13" x14ac:dyDescent="0.25">
      <c r="B2144" s="1"/>
      <c r="C2144" s="253"/>
      <c r="D2144" s="253"/>
      <c r="E2144" s="253"/>
      <c r="F2144" s="253"/>
      <c r="G2144" s="253"/>
      <c r="H2144" s="253"/>
      <c r="I2144" s="14" t="s">
        <v>3218</v>
      </c>
      <c r="J2144" s="7"/>
      <c r="K2144" s="7"/>
      <c r="L2144" s="7"/>
      <c r="M2144" s="7"/>
    </row>
    <row r="2145" spans="2:13" x14ac:dyDescent="0.25">
      <c r="B2145" s="11" t="s">
        <v>889</v>
      </c>
      <c r="C2145" s="252" t="s">
        <v>1717</v>
      </c>
      <c r="D2145" s="252"/>
      <c r="E2145" s="252" t="s">
        <v>517</v>
      </c>
      <c r="F2145" s="252"/>
      <c r="G2145" s="252" t="s">
        <v>1960</v>
      </c>
      <c r="H2145" s="252"/>
      <c r="I2145" s="14" t="s">
        <v>3219</v>
      </c>
      <c r="J2145" s="7"/>
      <c r="K2145" s="7"/>
      <c r="L2145" s="7"/>
      <c r="M2145" s="7"/>
    </row>
    <row r="2146" spans="2:13" x14ac:dyDescent="0.25">
      <c r="B2146" s="11"/>
      <c r="C2146" s="188"/>
      <c r="D2146" s="188"/>
      <c r="E2146" s="252"/>
      <c r="F2146" s="252"/>
      <c r="G2146" s="252"/>
      <c r="H2146" s="252"/>
      <c r="I2146" s="14" t="s">
        <v>3220</v>
      </c>
      <c r="J2146" s="7"/>
      <c r="K2146" s="7"/>
      <c r="L2146" s="7"/>
      <c r="M2146" s="7"/>
    </row>
    <row r="2147" spans="2:13" x14ac:dyDescent="0.25">
      <c r="B2147" s="1" t="s">
        <v>457</v>
      </c>
      <c r="C2147" s="253" t="s">
        <v>3221</v>
      </c>
      <c r="D2147" s="253"/>
      <c r="E2147" s="253" t="s">
        <v>516</v>
      </c>
      <c r="F2147" s="253"/>
      <c r="G2147" s="253" t="s">
        <v>1295</v>
      </c>
      <c r="H2147" s="253"/>
      <c r="I2147" s="14" t="s">
        <v>3222</v>
      </c>
      <c r="J2147" s="7"/>
      <c r="K2147" s="7"/>
      <c r="L2147" s="7"/>
      <c r="M2147" s="7"/>
    </row>
    <row r="2148" spans="2:13" x14ac:dyDescent="0.25">
      <c r="B2148" s="1"/>
      <c r="C2148" s="189"/>
      <c r="D2148" s="189"/>
      <c r="E2148" s="253"/>
      <c r="F2148" s="253"/>
      <c r="G2148" s="253"/>
      <c r="H2148" s="253"/>
      <c r="I2148" s="14" t="s">
        <v>3223</v>
      </c>
      <c r="J2148" s="7"/>
      <c r="K2148" s="7"/>
      <c r="L2148" s="7"/>
      <c r="M2148" s="7"/>
    </row>
    <row r="2149" spans="2:13" x14ac:dyDescent="0.25">
      <c r="B2149" s="11" t="s">
        <v>548</v>
      </c>
      <c r="C2149" s="252" t="s">
        <v>1717</v>
      </c>
      <c r="D2149" s="252"/>
      <c r="E2149" s="252" t="s">
        <v>517</v>
      </c>
      <c r="F2149" s="252"/>
      <c r="G2149" s="252" t="s">
        <v>1960</v>
      </c>
      <c r="H2149" s="252"/>
      <c r="I2149" s="64" t="s">
        <v>3224</v>
      </c>
      <c r="K2149" s="7"/>
      <c r="L2149" s="7"/>
      <c r="M2149" s="7"/>
    </row>
    <row r="2150" spans="2:13" x14ac:dyDescent="0.25">
      <c r="B2150" s="11"/>
      <c r="C2150" s="188"/>
      <c r="D2150" s="188"/>
      <c r="E2150" s="252"/>
      <c r="F2150" s="252"/>
      <c r="G2150" s="252"/>
      <c r="H2150" s="252"/>
      <c r="I2150" s="14" t="s">
        <v>3225</v>
      </c>
      <c r="J2150" s="7"/>
      <c r="K2150" s="7"/>
      <c r="L2150" s="7"/>
      <c r="M2150" s="7"/>
    </row>
    <row r="2151" spans="2:13" x14ac:dyDescent="0.25">
      <c r="B2151" s="1" t="s">
        <v>1046</v>
      </c>
      <c r="C2151" s="253" t="s">
        <v>1296</v>
      </c>
      <c r="D2151" s="253"/>
      <c r="E2151" s="253" t="s">
        <v>513</v>
      </c>
      <c r="F2151" s="253"/>
      <c r="G2151" s="253" t="s">
        <v>1127</v>
      </c>
      <c r="H2151" s="253"/>
      <c r="I2151" s="14" t="s">
        <v>3226</v>
      </c>
      <c r="J2151" s="14"/>
      <c r="K2151" s="7"/>
      <c r="L2151" s="7"/>
      <c r="M2151" s="7"/>
    </row>
    <row r="2152" spans="2:13" x14ac:dyDescent="0.25">
      <c r="B2152" s="1"/>
      <c r="C2152" s="189"/>
      <c r="D2152" s="189"/>
      <c r="E2152" s="253"/>
      <c r="F2152" s="253"/>
      <c r="G2152" s="253"/>
      <c r="H2152" s="253"/>
      <c r="I2152" s="14" t="s">
        <v>3227</v>
      </c>
      <c r="J2152" s="14"/>
      <c r="K2152" s="7"/>
      <c r="L2152" s="7"/>
      <c r="M2152" s="7"/>
    </row>
    <row r="2153" spans="2:13" x14ac:dyDescent="0.25">
      <c r="B2153" s="11" t="s">
        <v>1437</v>
      </c>
      <c r="C2153" s="265" t="s">
        <v>1434</v>
      </c>
      <c r="D2153" s="265"/>
      <c r="E2153" s="252" t="s">
        <v>845</v>
      </c>
      <c r="F2153" s="252"/>
      <c r="G2153" s="252" t="s">
        <v>1491</v>
      </c>
      <c r="H2153" s="252"/>
      <c r="I2153" s="14" t="s">
        <v>3228</v>
      </c>
      <c r="K2153" s="7"/>
      <c r="L2153" s="7"/>
      <c r="M2153" s="7"/>
    </row>
    <row r="2154" spans="2:13" x14ac:dyDescent="0.25">
      <c r="B2154" s="11"/>
      <c r="C2154" s="188"/>
      <c r="D2154" s="188"/>
      <c r="E2154" s="252"/>
      <c r="F2154" s="252"/>
      <c r="G2154" s="252"/>
      <c r="H2154" s="252"/>
      <c r="I2154" s="14" t="s">
        <v>3229</v>
      </c>
    </row>
    <row r="2155" spans="2:13" x14ac:dyDescent="0.25">
      <c r="B2155" s="1" t="s">
        <v>1207</v>
      </c>
      <c r="C2155" s="253" t="s">
        <v>1138</v>
      </c>
      <c r="D2155" s="253"/>
      <c r="E2155" s="253" t="s">
        <v>1037</v>
      </c>
      <c r="F2155" s="253"/>
      <c r="G2155" s="253" t="s">
        <v>1274</v>
      </c>
      <c r="H2155" s="253"/>
      <c r="I2155" s="14" t="s">
        <v>3230</v>
      </c>
    </row>
    <row r="2156" spans="2:13" x14ac:dyDescent="0.25">
      <c r="B2156" s="1"/>
      <c r="C2156" s="189"/>
      <c r="D2156" s="189"/>
      <c r="E2156" s="253"/>
      <c r="F2156" s="253"/>
      <c r="G2156" s="253"/>
      <c r="H2156" s="253"/>
      <c r="I2156" s="14" t="s">
        <v>3231</v>
      </c>
    </row>
    <row r="2157" spans="2:13" x14ac:dyDescent="0.25">
      <c r="B2157" s="11" t="s">
        <v>397</v>
      </c>
      <c r="C2157" s="252" t="s">
        <v>3232</v>
      </c>
      <c r="D2157" s="252"/>
      <c r="E2157" s="252" t="s">
        <v>1214</v>
      </c>
      <c r="F2157" s="252"/>
      <c r="G2157" s="252" t="s">
        <v>3233</v>
      </c>
      <c r="H2157" s="252"/>
      <c r="I2157" s="14" t="s">
        <v>3234</v>
      </c>
    </row>
    <row r="2158" spans="2:13" x14ac:dyDescent="0.25">
      <c r="B2158" s="11"/>
      <c r="C2158" s="188"/>
      <c r="D2158" s="188"/>
      <c r="E2158" s="252"/>
      <c r="F2158" s="252"/>
      <c r="G2158" s="252"/>
      <c r="H2158" s="252"/>
      <c r="I2158" s="14" t="s">
        <v>3235</v>
      </c>
    </row>
    <row r="2159" spans="2:13" x14ac:dyDescent="0.25">
      <c r="B2159" s="1" t="s">
        <v>3210</v>
      </c>
      <c r="C2159" s="253" t="s">
        <v>1662</v>
      </c>
      <c r="D2159" s="253"/>
      <c r="E2159" s="253" t="s">
        <v>3236</v>
      </c>
      <c r="F2159" s="253"/>
      <c r="G2159" s="253" t="s">
        <v>851</v>
      </c>
      <c r="H2159" s="253"/>
      <c r="I2159" s="14" t="s">
        <v>3237</v>
      </c>
    </row>
    <row r="2160" spans="2:13" x14ac:dyDescent="0.25">
      <c r="B2160" s="1"/>
      <c r="C2160" s="189"/>
      <c r="D2160" s="189"/>
      <c r="E2160" s="253"/>
      <c r="F2160" s="253"/>
      <c r="G2160" s="253"/>
      <c r="H2160" s="253"/>
      <c r="I2160" s="14" t="s">
        <v>3238</v>
      </c>
    </row>
    <row r="2161" spans="2:13" x14ac:dyDescent="0.25">
      <c r="B2161" s="11" t="s">
        <v>889</v>
      </c>
      <c r="C2161" s="252" t="s">
        <v>3239</v>
      </c>
      <c r="D2161" s="252"/>
      <c r="E2161" s="252" t="s">
        <v>1102</v>
      </c>
      <c r="F2161" s="252"/>
      <c r="G2161" s="252" t="s">
        <v>2498</v>
      </c>
      <c r="H2161" s="252"/>
      <c r="I2161" s="14" t="s">
        <v>3240</v>
      </c>
    </row>
    <row r="2162" spans="2:13" x14ac:dyDescent="0.25">
      <c r="B2162" s="11"/>
      <c r="C2162" s="13"/>
      <c r="D2162" s="188"/>
      <c r="E2162" s="188"/>
      <c r="F2162" s="188"/>
      <c r="G2162" s="188"/>
      <c r="H2162" s="188"/>
    </row>
    <row r="2163" spans="2:13" x14ac:dyDescent="0.25">
      <c r="B2163" s="1" t="s">
        <v>1046</v>
      </c>
      <c r="C2163" s="253" t="s">
        <v>882</v>
      </c>
      <c r="D2163" s="253"/>
      <c r="E2163" s="253" t="s">
        <v>487</v>
      </c>
      <c r="F2163" s="253"/>
      <c r="G2163" s="253" t="s">
        <v>1026</v>
      </c>
      <c r="H2163" s="253"/>
    </row>
    <row r="2164" spans="2:13" x14ac:dyDescent="0.25">
      <c r="B2164" s="1"/>
      <c r="C2164" s="189"/>
      <c r="D2164" s="189"/>
      <c r="E2164" s="189"/>
      <c r="F2164" s="189"/>
      <c r="G2164" s="189"/>
      <c r="H2164" s="189"/>
    </row>
    <row r="2165" spans="2:13" x14ac:dyDescent="0.25">
      <c r="B2165" s="11" t="s">
        <v>454</v>
      </c>
      <c r="C2165" s="252" t="s">
        <v>1100</v>
      </c>
      <c r="D2165" s="252"/>
      <c r="E2165" s="252" t="s">
        <v>972</v>
      </c>
      <c r="F2165" s="252"/>
      <c r="G2165" s="252" t="s">
        <v>1102</v>
      </c>
      <c r="H2165" s="252"/>
    </row>
    <row r="2166" spans="2:13" x14ac:dyDescent="0.25">
      <c r="B2166" s="11"/>
      <c r="C2166" s="188"/>
      <c r="D2166" s="188"/>
      <c r="E2166" s="188"/>
      <c r="F2166" s="188"/>
      <c r="G2166" s="188"/>
      <c r="H2166" s="188"/>
    </row>
    <row r="2167" spans="2:13" x14ac:dyDescent="0.25">
      <c r="B2167" s="1" t="s">
        <v>457</v>
      </c>
      <c r="C2167" s="255" t="s">
        <v>1100</v>
      </c>
      <c r="D2167" s="255"/>
      <c r="E2167" s="255" t="s">
        <v>972</v>
      </c>
      <c r="F2167" s="255"/>
      <c r="G2167" s="255" t="s">
        <v>1102</v>
      </c>
      <c r="H2167" s="255"/>
    </row>
    <row r="2168" spans="2:13" x14ac:dyDescent="0.25">
      <c r="B2168" s="1"/>
      <c r="C2168" s="191"/>
      <c r="D2168" s="191"/>
      <c r="E2168" s="191"/>
      <c r="F2168" s="191"/>
      <c r="G2168" s="191"/>
      <c r="H2168" s="191"/>
    </row>
    <row r="2169" spans="2:13" x14ac:dyDescent="0.25">
      <c r="B2169" s="11" t="s">
        <v>3241</v>
      </c>
      <c r="C2169" s="252" t="s">
        <v>1100</v>
      </c>
      <c r="D2169" s="252"/>
      <c r="E2169" s="252" t="s">
        <v>972</v>
      </c>
      <c r="F2169" s="252"/>
      <c r="G2169" s="252" t="s">
        <v>1102</v>
      </c>
      <c r="H2169" s="252"/>
    </row>
    <row r="2170" spans="2:13" x14ac:dyDescent="0.25">
      <c r="B2170" s="11"/>
      <c r="C2170" s="188"/>
      <c r="D2170" s="188"/>
      <c r="E2170" s="188"/>
      <c r="F2170" s="188"/>
      <c r="G2170" s="188"/>
      <c r="H2170" s="188"/>
    </row>
    <row r="2171" spans="2:13" x14ac:dyDescent="0.25">
      <c r="B2171" s="1" t="s">
        <v>548</v>
      </c>
      <c r="C2171" s="255" t="s">
        <v>882</v>
      </c>
      <c r="D2171" s="255"/>
      <c r="E2171" s="255" t="s">
        <v>487</v>
      </c>
      <c r="F2171" s="255"/>
      <c r="G2171" s="255" t="s">
        <v>1026</v>
      </c>
      <c r="H2171" s="255"/>
    </row>
    <row r="2172" spans="2:13" ht="15.75" thickBot="1" x14ac:dyDescent="0.3">
      <c r="B2172" s="24"/>
      <c r="C2172" s="271"/>
      <c r="D2172" s="271"/>
      <c r="E2172" s="271"/>
      <c r="F2172" s="271"/>
      <c r="G2172" s="271"/>
      <c r="H2172" s="271"/>
    </row>
    <row r="2173" spans="2:13" x14ac:dyDescent="0.25">
      <c r="B2173" s="217" t="s">
        <v>401</v>
      </c>
      <c r="C2173" s="218"/>
      <c r="D2173" s="218"/>
      <c r="E2173" s="218"/>
      <c r="F2173" s="218"/>
      <c r="G2173" s="218"/>
      <c r="H2173" s="218"/>
      <c r="I2173" s="218"/>
      <c r="J2173" s="218"/>
      <c r="K2173" s="218"/>
      <c r="L2173" s="218"/>
      <c r="M2173" s="219"/>
    </row>
    <row r="2174" spans="2:13" x14ac:dyDescent="0.25">
      <c r="B2174" s="3" t="s">
        <v>402</v>
      </c>
      <c r="C2174" s="232" t="s">
        <v>403</v>
      </c>
      <c r="D2174" s="232"/>
      <c r="E2174" s="232" t="s">
        <v>467</v>
      </c>
      <c r="F2174" s="232"/>
      <c r="G2174" s="232" t="s">
        <v>405</v>
      </c>
      <c r="H2174" s="232"/>
      <c r="I2174" s="232" t="s">
        <v>406</v>
      </c>
      <c r="J2174" s="232"/>
      <c r="K2174" s="234" t="s">
        <v>468</v>
      </c>
      <c r="L2174" s="235"/>
      <c r="M2174" s="236"/>
    </row>
    <row r="2175" spans="2:13" ht="15.75" thickBot="1" x14ac:dyDescent="0.3">
      <c r="B2175" s="5">
        <v>2</v>
      </c>
      <c r="C2175" s="272" t="s">
        <v>1242</v>
      </c>
      <c r="D2175" s="273"/>
      <c r="E2175" s="239">
        <v>0.125</v>
      </c>
      <c r="F2175" s="238"/>
      <c r="G2175" s="240"/>
      <c r="H2175" s="240"/>
      <c r="I2175" s="241"/>
      <c r="J2175" s="241"/>
      <c r="K2175" s="242"/>
      <c r="L2175" s="243"/>
      <c r="M2175" s="244"/>
    </row>
    <row r="2176" spans="2:13" ht="15.75" thickBot="1" x14ac:dyDescent="0.3">
      <c r="B2176" s="1"/>
      <c r="C2176" s="1"/>
      <c r="D2176" s="1"/>
      <c r="E2176" s="1"/>
      <c r="F2176" s="1"/>
      <c r="G2176" s="1"/>
      <c r="H2176" s="1"/>
    </row>
    <row r="2177" spans="2:13" x14ac:dyDescent="0.25">
      <c r="B2177" s="217" t="s">
        <v>408</v>
      </c>
      <c r="C2177" s="218"/>
      <c r="D2177" s="218"/>
      <c r="E2177" s="218"/>
      <c r="F2177" s="218"/>
      <c r="G2177" s="218"/>
      <c r="H2177" s="218"/>
      <c r="I2177" s="218"/>
      <c r="J2177" s="218"/>
      <c r="K2177" s="218"/>
      <c r="L2177" s="218"/>
      <c r="M2177" s="219"/>
    </row>
    <row r="2178" spans="2:13" x14ac:dyDescent="0.25">
      <c r="B2178" s="3" t="s">
        <v>3242</v>
      </c>
      <c r="C2178" s="232" t="s">
        <v>3243</v>
      </c>
      <c r="D2178" s="232"/>
      <c r="E2178" s="268" t="s">
        <v>1993</v>
      </c>
      <c r="F2178" s="268"/>
      <c r="G2178" s="233" t="s">
        <v>3244</v>
      </c>
      <c r="H2178" s="233"/>
      <c r="I2178" s="232" t="s">
        <v>3245</v>
      </c>
      <c r="J2178" s="232"/>
      <c r="K2178" s="232" t="s">
        <v>3246</v>
      </c>
      <c r="L2178" s="232"/>
      <c r="M2178" s="269"/>
    </row>
    <row r="2179" spans="2:13" ht="15.75" thickBot="1" x14ac:dyDescent="0.3">
      <c r="B2179" s="5" t="s">
        <v>565</v>
      </c>
      <c r="C2179" s="240" t="s">
        <v>3247</v>
      </c>
      <c r="D2179" s="240"/>
      <c r="E2179" s="240" t="s">
        <v>3248</v>
      </c>
      <c r="F2179" s="240"/>
      <c r="G2179" s="240" t="s">
        <v>2302</v>
      </c>
      <c r="H2179" s="240"/>
      <c r="I2179" s="266" t="s">
        <v>3249</v>
      </c>
      <c r="J2179" s="266"/>
      <c r="K2179" s="240" t="s">
        <v>3250</v>
      </c>
      <c r="L2179" s="240"/>
      <c r="M2179" s="267"/>
    </row>
    <row r="2181" spans="2:13" ht="23.25" x14ac:dyDescent="0.35">
      <c r="B2181" s="29" t="s">
        <v>334</v>
      </c>
      <c r="C2181" s="229" t="s">
        <v>196</v>
      </c>
      <c r="D2181" s="229"/>
      <c r="E2181" s="229"/>
      <c r="F2181" s="229"/>
      <c r="G2181" s="229"/>
      <c r="H2181" s="229"/>
      <c r="I2181" s="229"/>
      <c r="J2181" s="229"/>
    </row>
    <row r="2182" spans="2:13" ht="18.75" x14ac:dyDescent="0.3">
      <c r="B2182" s="12" t="s">
        <v>335</v>
      </c>
      <c r="C2182" s="195" t="s">
        <v>336</v>
      </c>
      <c r="D2182" s="228" t="s">
        <v>427</v>
      </c>
      <c r="E2182" s="228"/>
      <c r="F2182" s="1" t="s">
        <v>952</v>
      </c>
      <c r="L2182" s="12" t="s">
        <v>339</v>
      </c>
      <c r="M2182" s="6" t="s">
        <v>195</v>
      </c>
    </row>
    <row r="2184" spans="2:13" x14ac:dyDescent="0.25">
      <c r="B2184" s="2" t="s">
        <v>341</v>
      </c>
      <c r="C2184" s="250" t="s">
        <v>342</v>
      </c>
      <c r="D2184" s="250"/>
      <c r="E2184" s="250" t="s">
        <v>1260</v>
      </c>
      <c r="F2184" s="250"/>
      <c r="G2184" s="250" t="s">
        <v>954</v>
      </c>
      <c r="H2184" s="250"/>
      <c r="I2184" s="228" t="s">
        <v>345</v>
      </c>
      <c r="J2184" s="228"/>
      <c r="K2184" s="228"/>
      <c r="L2184" s="228"/>
      <c r="M2184" s="228"/>
    </row>
    <row r="2185" spans="2:13" x14ac:dyDescent="0.25">
      <c r="C2185" s="251"/>
      <c r="D2185" s="251"/>
      <c r="E2185" s="251"/>
      <c r="F2185" s="251"/>
      <c r="G2185" s="251"/>
      <c r="H2185" s="251"/>
      <c r="I2185" s="7"/>
      <c r="J2185" s="7"/>
      <c r="K2185" s="7"/>
      <c r="L2185" s="7"/>
      <c r="M2185" s="7"/>
    </row>
    <row r="2186" spans="2:13" x14ac:dyDescent="0.25">
      <c r="B2186" s="11" t="s">
        <v>677</v>
      </c>
      <c r="C2186" s="252" t="s">
        <v>1641</v>
      </c>
      <c r="D2186" s="252"/>
      <c r="E2186" s="252" t="s">
        <v>392</v>
      </c>
      <c r="F2186" s="252"/>
      <c r="G2186" s="252" t="s">
        <v>395</v>
      </c>
      <c r="H2186" s="252"/>
      <c r="I2186" s="14" t="s">
        <v>3251</v>
      </c>
      <c r="J2186" s="7"/>
      <c r="K2186" s="7"/>
      <c r="L2186" s="7"/>
      <c r="M2186" s="7"/>
    </row>
    <row r="2187" spans="2:13" x14ac:dyDescent="0.25">
      <c r="B2187" s="11"/>
      <c r="C2187" s="188"/>
      <c r="D2187" s="188"/>
      <c r="E2187" s="252"/>
      <c r="F2187" s="252"/>
      <c r="G2187" s="252"/>
      <c r="H2187" s="252"/>
      <c r="I2187" s="14" t="s">
        <v>3252</v>
      </c>
      <c r="J2187" s="7"/>
      <c r="K2187" s="7"/>
      <c r="L2187" s="7"/>
      <c r="M2187" s="7"/>
    </row>
    <row r="2188" spans="2:13" x14ac:dyDescent="0.25">
      <c r="B2188" s="1" t="s">
        <v>2097</v>
      </c>
      <c r="C2188" s="253" t="s">
        <v>654</v>
      </c>
      <c r="D2188" s="253"/>
      <c r="E2188" s="253" t="s">
        <v>1240</v>
      </c>
      <c r="F2188" s="253"/>
      <c r="G2188" s="253" t="s">
        <v>843</v>
      </c>
      <c r="H2188" s="253"/>
      <c r="I2188" s="14" t="s">
        <v>3253</v>
      </c>
      <c r="J2188" s="7"/>
      <c r="K2188" s="7"/>
      <c r="L2188" s="7"/>
      <c r="M2188" s="7"/>
    </row>
    <row r="2189" spans="2:13" x14ac:dyDescent="0.25">
      <c r="B2189" s="1"/>
      <c r="C2189" s="253"/>
      <c r="D2189" s="253"/>
      <c r="E2189" s="253"/>
      <c r="F2189" s="253"/>
      <c r="G2189" s="253"/>
      <c r="H2189" s="253"/>
      <c r="I2189" s="14" t="s">
        <v>3254</v>
      </c>
      <c r="J2189" s="7"/>
      <c r="K2189" s="7"/>
      <c r="L2189" s="7"/>
      <c r="M2189" s="7"/>
    </row>
    <row r="2190" spans="2:13" x14ac:dyDescent="0.25">
      <c r="B2190" s="11" t="s">
        <v>3255</v>
      </c>
      <c r="C2190" s="252" t="s">
        <v>3256</v>
      </c>
      <c r="D2190" s="252"/>
      <c r="E2190" s="252" t="s">
        <v>3257</v>
      </c>
      <c r="F2190" s="252"/>
      <c r="G2190" s="252" t="s">
        <v>3258</v>
      </c>
      <c r="H2190" s="252"/>
      <c r="I2190" s="14" t="s">
        <v>3259</v>
      </c>
      <c r="J2190" s="7"/>
      <c r="K2190" s="7"/>
      <c r="L2190" s="7"/>
      <c r="M2190" s="7"/>
    </row>
    <row r="2191" spans="2:13" x14ac:dyDescent="0.25">
      <c r="B2191" s="11"/>
      <c r="C2191" s="188"/>
      <c r="D2191" s="188"/>
      <c r="E2191" s="252"/>
      <c r="F2191" s="252"/>
      <c r="G2191" s="252"/>
      <c r="H2191" s="252"/>
      <c r="I2191" s="14" t="s">
        <v>3260</v>
      </c>
      <c r="J2191" s="7"/>
      <c r="K2191" s="7"/>
      <c r="L2191" s="7"/>
      <c r="M2191" s="7"/>
    </row>
    <row r="2192" spans="2:13" x14ac:dyDescent="0.25">
      <c r="B2192" s="1" t="s">
        <v>454</v>
      </c>
      <c r="C2192" s="253" t="s">
        <v>1641</v>
      </c>
      <c r="D2192" s="253"/>
      <c r="E2192" s="253" t="s">
        <v>392</v>
      </c>
      <c r="F2192" s="253"/>
      <c r="G2192" s="253" t="s">
        <v>395</v>
      </c>
      <c r="H2192" s="253"/>
      <c r="I2192" s="14" t="s">
        <v>3261</v>
      </c>
      <c r="J2192" s="7"/>
      <c r="K2192" s="7"/>
      <c r="L2192" s="7"/>
      <c r="M2192" s="7"/>
    </row>
    <row r="2193" spans="2:13" x14ac:dyDescent="0.25">
      <c r="B2193" s="1"/>
      <c r="C2193" s="189"/>
      <c r="D2193" s="189"/>
      <c r="E2193" s="253"/>
      <c r="F2193" s="253"/>
      <c r="G2193" s="253"/>
      <c r="H2193" s="253"/>
      <c r="I2193" s="14" t="s">
        <v>3262</v>
      </c>
      <c r="J2193" s="7"/>
      <c r="K2193" s="7"/>
      <c r="L2193" s="7"/>
      <c r="M2193" s="7"/>
    </row>
    <row r="2194" spans="2:13" x14ac:dyDescent="0.25">
      <c r="B2194" s="11" t="s">
        <v>457</v>
      </c>
      <c r="C2194" s="252" t="s">
        <v>1131</v>
      </c>
      <c r="D2194" s="252"/>
      <c r="E2194" s="252" t="s">
        <v>3263</v>
      </c>
      <c r="F2194" s="252"/>
      <c r="G2194" s="252" t="s">
        <v>1027</v>
      </c>
      <c r="H2194" s="252"/>
      <c r="I2194" s="64" t="s">
        <v>3264</v>
      </c>
      <c r="K2194" s="7"/>
      <c r="L2194" s="7"/>
      <c r="M2194" s="7"/>
    </row>
    <row r="2195" spans="2:13" x14ac:dyDescent="0.25">
      <c r="B2195" s="11"/>
      <c r="C2195" s="188"/>
      <c r="D2195" s="188"/>
      <c r="E2195" s="252"/>
      <c r="F2195" s="252"/>
      <c r="G2195" s="252"/>
      <c r="H2195" s="252"/>
      <c r="I2195" s="14" t="s">
        <v>3265</v>
      </c>
      <c r="J2195" s="7"/>
      <c r="K2195" s="7"/>
      <c r="L2195" s="7"/>
      <c r="M2195" s="7"/>
    </row>
    <row r="2196" spans="2:13" x14ac:dyDescent="0.25">
      <c r="B2196" s="1" t="s">
        <v>889</v>
      </c>
      <c r="C2196" s="253" t="s">
        <v>744</v>
      </c>
      <c r="D2196" s="253"/>
      <c r="E2196" s="253" t="s">
        <v>891</v>
      </c>
      <c r="F2196" s="253"/>
      <c r="G2196" s="253" t="s">
        <v>491</v>
      </c>
      <c r="H2196" s="253"/>
      <c r="I2196" s="14" t="s">
        <v>3266</v>
      </c>
      <c r="J2196" s="14"/>
      <c r="K2196" s="7"/>
      <c r="L2196" s="7"/>
      <c r="M2196" s="7"/>
    </row>
    <row r="2197" spans="2:13" x14ac:dyDescent="0.25">
      <c r="B2197" s="1"/>
      <c r="C2197" s="189"/>
      <c r="D2197" s="189"/>
      <c r="E2197" s="253"/>
      <c r="F2197" s="253"/>
      <c r="G2197" s="253"/>
      <c r="H2197" s="253"/>
      <c r="I2197" s="14" t="s">
        <v>3267</v>
      </c>
      <c r="J2197" s="14"/>
      <c r="K2197" s="7"/>
      <c r="L2197" s="7"/>
      <c r="M2197" s="7"/>
    </row>
    <row r="2198" spans="2:13" x14ac:dyDescent="0.25">
      <c r="B2198" s="11" t="s">
        <v>3268</v>
      </c>
      <c r="C2198" s="265" t="s">
        <v>1355</v>
      </c>
      <c r="D2198" s="265"/>
      <c r="E2198" s="252" t="s">
        <v>3176</v>
      </c>
      <c r="F2198" s="252"/>
      <c r="G2198" s="252" t="s">
        <v>962</v>
      </c>
      <c r="H2198" s="252"/>
      <c r="I2198" s="14" t="s">
        <v>3269</v>
      </c>
      <c r="K2198" s="7"/>
      <c r="L2198" s="7"/>
      <c r="M2198" s="7"/>
    </row>
    <row r="2199" spans="2:13" x14ac:dyDescent="0.25">
      <c r="B2199" s="11" t="s">
        <v>2644</v>
      </c>
      <c r="C2199" s="188"/>
      <c r="D2199" s="188"/>
      <c r="E2199" s="252"/>
      <c r="F2199" s="252"/>
      <c r="G2199" s="252"/>
      <c r="H2199" s="252"/>
      <c r="I2199" s="14" t="s">
        <v>3270</v>
      </c>
    </row>
    <row r="2200" spans="2:13" x14ac:dyDescent="0.25">
      <c r="B2200" s="1" t="s">
        <v>3271</v>
      </c>
      <c r="C2200" s="253" t="s">
        <v>2241</v>
      </c>
      <c r="D2200" s="253"/>
      <c r="E2200" s="253" t="s">
        <v>597</v>
      </c>
      <c r="F2200" s="253"/>
      <c r="G2200" s="253" t="s">
        <v>1752</v>
      </c>
      <c r="H2200" s="253"/>
      <c r="I2200" s="14" t="s">
        <v>3272</v>
      </c>
    </row>
    <row r="2201" spans="2:13" x14ac:dyDescent="0.25">
      <c r="B2201" s="1"/>
      <c r="C2201" s="189"/>
      <c r="D2201" s="189"/>
      <c r="E2201" s="253"/>
      <c r="F2201" s="253"/>
      <c r="G2201" s="253"/>
      <c r="H2201" s="253"/>
      <c r="I2201" s="14" t="s">
        <v>3273</v>
      </c>
    </row>
    <row r="2202" spans="2:13" x14ac:dyDescent="0.25">
      <c r="B2202" s="11" t="s">
        <v>3274</v>
      </c>
      <c r="C2202" s="252" t="s">
        <v>3275</v>
      </c>
      <c r="D2202" s="252"/>
      <c r="E2202" s="252" t="s">
        <v>596</v>
      </c>
      <c r="F2202" s="252"/>
      <c r="G2202" s="252" t="s">
        <v>3276</v>
      </c>
      <c r="H2202" s="252"/>
      <c r="I2202" s="14" t="s">
        <v>3277</v>
      </c>
    </row>
    <row r="2203" spans="2:13" x14ac:dyDescent="0.25">
      <c r="B2203" s="11" t="s">
        <v>3278</v>
      </c>
      <c r="C2203" s="188"/>
      <c r="D2203" s="188"/>
      <c r="E2203" s="252"/>
      <c r="F2203" s="252"/>
      <c r="G2203" s="252"/>
      <c r="H2203" s="252"/>
      <c r="I2203" s="14" t="s">
        <v>3279</v>
      </c>
    </row>
    <row r="2204" spans="2:13" x14ac:dyDescent="0.25">
      <c r="B2204" s="1" t="s">
        <v>3280</v>
      </c>
      <c r="C2204" s="253" t="s">
        <v>545</v>
      </c>
      <c r="D2204" s="253"/>
      <c r="E2204" s="253" t="s">
        <v>3281</v>
      </c>
      <c r="F2204" s="253"/>
      <c r="G2204" s="253" t="s">
        <v>985</v>
      </c>
      <c r="H2204" s="253"/>
      <c r="I2204" s="14" t="s">
        <v>3282</v>
      </c>
    </row>
    <row r="2205" spans="2:13" x14ac:dyDescent="0.25">
      <c r="B2205" s="1"/>
      <c r="C2205" s="189"/>
      <c r="D2205" s="189"/>
      <c r="E2205" s="253"/>
      <c r="F2205" s="253"/>
      <c r="G2205" s="253"/>
      <c r="H2205" s="253"/>
      <c r="I2205" s="14" t="s">
        <v>3283</v>
      </c>
    </row>
    <row r="2206" spans="2:13" x14ac:dyDescent="0.25">
      <c r="B2206" s="11" t="s">
        <v>3284</v>
      </c>
      <c r="C2206" s="252" t="s">
        <v>3285</v>
      </c>
      <c r="D2206" s="252"/>
      <c r="E2206" s="252" t="s">
        <v>433</v>
      </c>
      <c r="F2206" s="252"/>
      <c r="G2206" s="252" t="s">
        <v>3286</v>
      </c>
      <c r="H2206" s="252"/>
      <c r="I2206" s="14" t="s">
        <v>3287</v>
      </c>
    </row>
    <row r="2207" spans="2:13" x14ac:dyDescent="0.25">
      <c r="B2207" s="11" t="s">
        <v>2437</v>
      </c>
      <c r="C2207" s="13"/>
      <c r="D2207" s="188"/>
      <c r="E2207" s="188"/>
      <c r="F2207" s="188"/>
      <c r="G2207" s="188"/>
      <c r="H2207" s="188"/>
      <c r="I2207" s="14" t="s">
        <v>3288</v>
      </c>
    </row>
    <row r="2208" spans="2:13" x14ac:dyDescent="0.25">
      <c r="B2208" s="1" t="s">
        <v>3274</v>
      </c>
      <c r="C2208" s="253" t="s">
        <v>1577</v>
      </c>
      <c r="D2208" s="253"/>
      <c r="E2208" s="253" t="s">
        <v>851</v>
      </c>
      <c r="F2208" s="253"/>
      <c r="G2208" s="253" t="s">
        <v>2218</v>
      </c>
      <c r="H2208" s="253"/>
      <c r="I2208" s="14" t="s">
        <v>3289</v>
      </c>
    </row>
    <row r="2209" spans="2:13" x14ac:dyDescent="0.25">
      <c r="B2209" s="1" t="s">
        <v>3278</v>
      </c>
      <c r="C2209" s="189"/>
      <c r="D2209" s="189"/>
      <c r="E2209" s="189"/>
      <c r="F2209" s="189"/>
      <c r="G2209" s="189"/>
      <c r="H2209" s="189"/>
      <c r="I2209" s="14" t="s">
        <v>3290</v>
      </c>
    </row>
    <row r="2210" spans="2:13" x14ac:dyDescent="0.25">
      <c r="B2210" s="11" t="s">
        <v>3284</v>
      </c>
      <c r="C2210" s="252" t="s">
        <v>3285</v>
      </c>
      <c r="D2210" s="252"/>
      <c r="E2210" s="252" t="s">
        <v>433</v>
      </c>
      <c r="F2210" s="252"/>
      <c r="G2210" s="252" t="s">
        <v>3286</v>
      </c>
      <c r="H2210" s="252"/>
      <c r="I2210" s="14" t="s">
        <v>3291</v>
      </c>
    </row>
    <row r="2211" spans="2:13" x14ac:dyDescent="0.25">
      <c r="B2211" s="11" t="s">
        <v>2437</v>
      </c>
      <c r="C2211" s="188"/>
      <c r="D2211" s="188"/>
      <c r="E2211" s="188"/>
      <c r="F2211" s="188"/>
      <c r="G2211" s="188"/>
      <c r="H2211" s="188"/>
      <c r="I2211" s="14" t="s">
        <v>3292</v>
      </c>
    </row>
    <row r="2212" spans="2:13" x14ac:dyDescent="0.25">
      <c r="B2212" s="1"/>
      <c r="C2212" s="255"/>
      <c r="D2212" s="255"/>
      <c r="E2212" s="255"/>
      <c r="F2212" s="255"/>
      <c r="G2212" s="255"/>
      <c r="H2212" s="255"/>
      <c r="I2212" s="14" t="s">
        <v>3293</v>
      </c>
    </row>
    <row r="2213" spans="2:13" x14ac:dyDescent="0.25">
      <c r="B2213" s="1"/>
      <c r="C2213" s="191"/>
      <c r="D2213" s="191"/>
      <c r="E2213" s="191"/>
      <c r="F2213" s="191"/>
      <c r="G2213" s="191"/>
      <c r="H2213" s="191"/>
      <c r="I2213" s="14" t="s">
        <v>3194</v>
      </c>
    </row>
    <row r="2214" spans="2:13" x14ac:dyDescent="0.25">
      <c r="B2214" s="32"/>
      <c r="C2214" s="255"/>
      <c r="D2214" s="255"/>
      <c r="E2214" s="255"/>
      <c r="F2214" s="255"/>
      <c r="G2214" s="255"/>
      <c r="H2214" s="255"/>
      <c r="I2214" s="14" t="s">
        <v>3294</v>
      </c>
    </row>
    <row r="2215" spans="2:13" ht="15.75" thickBot="1" x14ac:dyDescent="0.3">
      <c r="B2215" s="32"/>
      <c r="C2215" s="191"/>
      <c r="D2215" s="191"/>
      <c r="E2215" s="191"/>
      <c r="F2215" s="191"/>
      <c r="G2215" s="191"/>
      <c r="H2215" s="191"/>
      <c r="I2215" s="14" t="s">
        <v>3295</v>
      </c>
    </row>
    <row r="2216" spans="2:13" x14ac:dyDescent="0.25">
      <c r="B2216" s="217" t="s">
        <v>401</v>
      </c>
      <c r="C2216" s="218"/>
      <c r="D2216" s="218"/>
      <c r="E2216" s="218"/>
      <c r="F2216" s="218"/>
      <c r="G2216" s="218"/>
      <c r="H2216" s="218"/>
      <c r="I2216" s="218"/>
      <c r="J2216" s="218"/>
      <c r="K2216" s="218"/>
      <c r="L2216" s="218"/>
      <c r="M2216" s="219"/>
    </row>
    <row r="2217" spans="2:13" x14ac:dyDescent="0.25">
      <c r="B2217" s="3" t="s">
        <v>402</v>
      </c>
      <c r="C2217" s="232" t="s">
        <v>403</v>
      </c>
      <c r="D2217" s="232"/>
      <c r="E2217" s="232" t="s">
        <v>467</v>
      </c>
      <c r="F2217" s="232"/>
      <c r="G2217" s="232" t="s">
        <v>405</v>
      </c>
      <c r="H2217" s="232"/>
      <c r="I2217" s="232" t="s">
        <v>406</v>
      </c>
      <c r="J2217" s="232"/>
      <c r="K2217" s="234" t="s">
        <v>468</v>
      </c>
      <c r="L2217" s="235"/>
      <c r="M2217" s="236"/>
    </row>
    <row r="2218" spans="2:13" ht="15.75" thickBot="1" x14ac:dyDescent="0.3">
      <c r="B2218" s="5">
        <v>2</v>
      </c>
      <c r="C2218" s="237">
        <v>1.5</v>
      </c>
      <c r="D2218" s="238"/>
      <c r="E2218" s="239">
        <v>0.5</v>
      </c>
      <c r="F2218" s="238"/>
      <c r="G2218" s="240"/>
      <c r="H2218" s="240"/>
      <c r="I2218" s="241"/>
      <c r="J2218" s="241"/>
      <c r="K2218" s="242"/>
      <c r="L2218" s="243"/>
      <c r="M2218" s="244"/>
    </row>
    <row r="2219" spans="2:13" ht="15.75" thickBot="1" x14ac:dyDescent="0.3">
      <c r="B2219" s="1"/>
      <c r="C2219" s="1"/>
      <c r="D2219" s="1"/>
      <c r="E2219" s="1"/>
      <c r="F2219" s="1"/>
      <c r="G2219" s="1"/>
      <c r="H2219" s="1"/>
    </row>
    <row r="2220" spans="2:13" x14ac:dyDescent="0.25">
      <c r="B2220" s="217" t="s">
        <v>408</v>
      </c>
      <c r="C2220" s="218"/>
      <c r="D2220" s="218"/>
      <c r="E2220" s="218"/>
      <c r="F2220" s="218"/>
      <c r="G2220" s="218"/>
      <c r="H2220" s="218"/>
      <c r="I2220" s="218"/>
      <c r="J2220" s="218"/>
      <c r="K2220" s="218"/>
      <c r="L2220" s="218"/>
      <c r="M2220" s="219"/>
    </row>
    <row r="2221" spans="2:13" x14ac:dyDescent="0.25">
      <c r="B2221" s="3" t="s">
        <v>3296</v>
      </c>
      <c r="C2221" s="232" t="s">
        <v>1329</v>
      </c>
      <c r="D2221" s="232"/>
      <c r="E2221" s="268" t="s">
        <v>2041</v>
      </c>
      <c r="F2221" s="268"/>
      <c r="G2221" s="233" t="s">
        <v>3297</v>
      </c>
      <c r="H2221" s="233"/>
      <c r="I2221" s="232" t="s">
        <v>3298</v>
      </c>
      <c r="J2221" s="232"/>
      <c r="K2221" s="232" t="s">
        <v>3299</v>
      </c>
      <c r="L2221" s="232"/>
      <c r="M2221" s="269"/>
    </row>
    <row r="2222" spans="2:13" ht="15.75" thickBot="1" x14ac:dyDescent="0.3">
      <c r="B2222" s="5" t="s">
        <v>3300</v>
      </c>
      <c r="C2222" s="240" t="s">
        <v>1735</v>
      </c>
      <c r="D2222" s="240"/>
      <c r="E2222" s="240" t="s">
        <v>3301</v>
      </c>
      <c r="F2222" s="240"/>
      <c r="G2222" s="240" t="s">
        <v>3302</v>
      </c>
      <c r="H2222" s="240"/>
      <c r="I2222" s="266" t="s">
        <v>3303</v>
      </c>
      <c r="J2222" s="266"/>
      <c r="K2222" s="240" t="s">
        <v>3304</v>
      </c>
      <c r="L2222" s="240"/>
      <c r="M2222" s="267"/>
    </row>
    <row r="2224" spans="2:13" ht="23.25" x14ac:dyDescent="0.35">
      <c r="B2224" s="29" t="s">
        <v>334</v>
      </c>
      <c r="C2224" s="229" t="s">
        <v>212</v>
      </c>
      <c r="D2224" s="229"/>
      <c r="E2224" s="229"/>
      <c r="F2224" s="229"/>
      <c r="G2224" s="229"/>
      <c r="H2224" s="229"/>
      <c r="I2224" s="229"/>
      <c r="J2224" s="229"/>
    </row>
    <row r="2225" spans="2:13" ht="18.75" x14ac:dyDescent="0.3">
      <c r="B2225" s="12" t="s">
        <v>335</v>
      </c>
      <c r="C2225" s="195" t="s">
        <v>336</v>
      </c>
      <c r="D2225" s="228" t="s">
        <v>427</v>
      </c>
      <c r="E2225" s="228"/>
      <c r="F2225" s="1" t="s">
        <v>2096</v>
      </c>
      <c r="L2225" s="12" t="s">
        <v>339</v>
      </c>
      <c r="M2225" s="6" t="s">
        <v>211</v>
      </c>
    </row>
    <row r="2227" spans="2:13" x14ac:dyDescent="0.25">
      <c r="B2227" s="2" t="s">
        <v>341</v>
      </c>
      <c r="C2227" s="250" t="s">
        <v>342</v>
      </c>
      <c r="D2227" s="250"/>
      <c r="E2227" s="250" t="s">
        <v>1260</v>
      </c>
      <c r="F2227" s="250"/>
      <c r="G2227" s="250" t="s">
        <v>3305</v>
      </c>
      <c r="H2227" s="250"/>
      <c r="I2227" s="228" t="s">
        <v>345</v>
      </c>
      <c r="J2227" s="228"/>
      <c r="K2227" s="228"/>
      <c r="L2227" s="228"/>
      <c r="M2227" s="228"/>
    </row>
    <row r="2228" spans="2:13" x14ac:dyDescent="0.25">
      <c r="C2228" s="251"/>
      <c r="D2228" s="251"/>
      <c r="E2228" s="251"/>
      <c r="F2228" s="251"/>
      <c r="G2228" s="251"/>
      <c r="H2228" s="251"/>
      <c r="I2228" s="7"/>
      <c r="J2228" s="7"/>
      <c r="K2228" s="7"/>
      <c r="L2228" s="7"/>
      <c r="M2228" s="7"/>
    </row>
    <row r="2229" spans="2:13" x14ac:dyDescent="0.25">
      <c r="B2229" s="11" t="s">
        <v>3306</v>
      </c>
      <c r="C2229" s="252" t="s">
        <v>3257</v>
      </c>
      <c r="D2229" s="252"/>
      <c r="E2229" s="252" t="s">
        <v>3307</v>
      </c>
      <c r="F2229" s="252"/>
      <c r="G2229" s="252" t="s">
        <v>3308</v>
      </c>
      <c r="H2229" s="252"/>
      <c r="I2229" s="14" t="s">
        <v>3309</v>
      </c>
      <c r="J2229" s="7"/>
      <c r="K2229" s="7"/>
      <c r="L2229" s="7"/>
      <c r="M2229" s="7"/>
    </row>
    <row r="2230" spans="2:13" x14ac:dyDescent="0.25">
      <c r="B2230" s="11"/>
      <c r="C2230" s="188"/>
      <c r="D2230" s="188"/>
      <c r="E2230" s="252"/>
      <c r="F2230" s="252"/>
      <c r="G2230" s="252"/>
      <c r="H2230" s="252"/>
      <c r="I2230" s="14" t="s">
        <v>3310</v>
      </c>
      <c r="J2230" s="7"/>
      <c r="K2230" s="7"/>
      <c r="L2230" s="7"/>
      <c r="M2230" s="7"/>
    </row>
    <row r="2231" spans="2:13" x14ac:dyDescent="0.25">
      <c r="B2231" s="1" t="s">
        <v>3311</v>
      </c>
      <c r="C2231" s="253" t="s">
        <v>2850</v>
      </c>
      <c r="D2231" s="253"/>
      <c r="E2231" s="253" t="s">
        <v>1276</v>
      </c>
      <c r="F2231" s="253"/>
      <c r="G2231" s="253" t="s">
        <v>3312</v>
      </c>
      <c r="H2231" s="253"/>
      <c r="I2231" s="14" t="s">
        <v>3313</v>
      </c>
      <c r="J2231" s="7"/>
      <c r="K2231" s="7"/>
      <c r="L2231" s="7"/>
      <c r="M2231" s="7"/>
    </row>
    <row r="2232" spans="2:13" x14ac:dyDescent="0.25">
      <c r="B2232" s="1"/>
      <c r="C2232" s="253"/>
      <c r="D2232" s="253"/>
      <c r="E2232" s="253"/>
      <c r="F2232" s="253"/>
      <c r="G2232" s="253"/>
      <c r="H2232" s="253"/>
      <c r="I2232" s="14" t="s">
        <v>3314</v>
      </c>
      <c r="J2232" s="7"/>
      <c r="K2232" s="7"/>
      <c r="L2232" s="7"/>
      <c r="M2232" s="7"/>
    </row>
    <row r="2233" spans="2:13" x14ac:dyDescent="0.25">
      <c r="B2233" s="11" t="s">
        <v>3315</v>
      </c>
      <c r="C2233" s="252" t="s">
        <v>2850</v>
      </c>
      <c r="D2233" s="252"/>
      <c r="E2233" s="252" t="s">
        <v>1276</v>
      </c>
      <c r="F2233" s="252"/>
      <c r="G2233" s="252" t="s">
        <v>3312</v>
      </c>
      <c r="H2233" s="252"/>
      <c r="I2233" s="14" t="s">
        <v>3316</v>
      </c>
      <c r="J2233" s="7"/>
      <c r="K2233" s="7"/>
      <c r="L2233" s="7"/>
      <c r="M2233" s="7"/>
    </row>
    <row r="2234" spans="2:13" x14ac:dyDescent="0.25">
      <c r="B2234" s="11"/>
      <c r="C2234" s="188"/>
      <c r="D2234" s="188"/>
      <c r="E2234" s="252"/>
      <c r="F2234" s="252"/>
      <c r="G2234" s="252"/>
      <c r="H2234" s="252"/>
      <c r="I2234" s="14" t="s">
        <v>3317</v>
      </c>
      <c r="J2234" s="7"/>
      <c r="K2234" s="7"/>
      <c r="L2234" s="7"/>
      <c r="M2234" s="7"/>
    </row>
    <row r="2235" spans="2:13" x14ac:dyDescent="0.25">
      <c r="B2235" s="1" t="s">
        <v>3318</v>
      </c>
      <c r="C2235" s="253" t="s">
        <v>3319</v>
      </c>
      <c r="D2235" s="253"/>
      <c r="E2235" s="253" t="s">
        <v>3233</v>
      </c>
      <c r="F2235" s="253"/>
      <c r="G2235" s="253" t="s">
        <v>3320</v>
      </c>
      <c r="H2235" s="253"/>
      <c r="I2235" s="14" t="s">
        <v>3321</v>
      </c>
      <c r="J2235" s="7"/>
      <c r="K2235" s="7"/>
      <c r="L2235" s="7"/>
      <c r="M2235" s="7"/>
    </row>
    <row r="2236" spans="2:13" x14ac:dyDescent="0.25">
      <c r="B2236" s="1"/>
      <c r="C2236" s="189"/>
      <c r="D2236" s="189"/>
      <c r="E2236" s="253"/>
      <c r="F2236" s="253"/>
      <c r="G2236" s="253"/>
      <c r="H2236" s="253"/>
      <c r="I2236" s="14" t="s">
        <v>3322</v>
      </c>
      <c r="J2236" s="7"/>
      <c r="K2236" s="7"/>
      <c r="L2236" s="7"/>
      <c r="M2236" s="7"/>
    </row>
    <row r="2237" spans="2:13" x14ac:dyDescent="0.25">
      <c r="B2237" s="11" t="s">
        <v>848</v>
      </c>
      <c r="C2237" s="252" t="s">
        <v>854</v>
      </c>
      <c r="D2237" s="252"/>
      <c r="E2237" s="252" t="s">
        <v>3323</v>
      </c>
      <c r="F2237" s="252"/>
      <c r="G2237" s="252" t="s">
        <v>1443</v>
      </c>
      <c r="H2237" s="252"/>
      <c r="I2237" s="64" t="s">
        <v>3324</v>
      </c>
      <c r="K2237" s="7"/>
      <c r="L2237" s="7"/>
      <c r="M2237" s="7"/>
    </row>
    <row r="2238" spans="2:13" x14ac:dyDescent="0.25">
      <c r="B2238" s="11"/>
      <c r="C2238" s="188"/>
      <c r="D2238" s="188"/>
      <c r="E2238" s="252"/>
      <c r="F2238" s="252"/>
      <c r="G2238" s="252"/>
      <c r="H2238" s="252"/>
      <c r="I2238" s="14" t="s">
        <v>3325</v>
      </c>
      <c r="J2238" s="7"/>
      <c r="K2238" s="7"/>
      <c r="L2238" s="7"/>
      <c r="M2238" s="7"/>
    </row>
    <row r="2239" spans="2:13" x14ac:dyDescent="0.25">
      <c r="B2239" s="1" t="s">
        <v>652</v>
      </c>
      <c r="C2239" s="253" t="s">
        <v>2850</v>
      </c>
      <c r="D2239" s="253"/>
      <c r="E2239" s="253" t="s">
        <v>1276</v>
      </c>
      <c r="F2239" s="253"/>
      <c r="G2239" s="253" t="s">
        <v>3312</v>
      </c>
      <c r="H2239" s="253"/>
      <c r="I2239" s="14" t="s">
        <v>3326</v>
      </c>
      <c r="J2239" s="14"/>
      <c r="K2239" s="7"/>
      <c r="L2239" s="7"/>
      <c r="M2239" s="7"/>
    </row>
    <row r="2240" spans="2:13" x14ac:dyDescent="0.25">
      <c r="B2240" s="1"/>
      <c r="C2240" s="189"/>
      <c r="D2240" s="189"/>
      <c r="E2240" s="253"/>
      <c r="F2240" s="253"/>
      <c r="G2240" s="253"/>
      <c r="H2240" s="253"/>
      <c r="I2240" s="14"/>
      <c r="J2240" s="14"/>
      <c r="K2240" s="7"/>
      <c r="L2240" s="7"/>
      <c r="M2240" s="7"/>
    </row>
    <row r="2241" spans="2:13" x14ac:dyDescent="0.25">
      <c r="B2241" s="11" t="s">
        <v>3327</v>
      </c>
      <c r="C2241" s="265" t="s">
        <v>3328</v>
      </c>
      <c r="D2241" s="265"/>
      <c r="E2241" s="252" t="s">
        <v>3329</v>
      </c>
      <c r="F2241" s="252"/>
      <c r="G2241" s="252" t="s">
        <v>3330</v>
      </c>
      <c r="H2241" s="252"/>
      <c r="I2241" s="14"/>
      <c r="K2241" s="7"/>
      <c r="L2241" s="7"/>
      <c r="M2241" s="7"/>
    </row>
    <row r="2242" spans="2:13" x14ac:dyDescent="0.25">
      <c r="B2242" s="11"/>
      <c r="C2242" s="188"/>
      <c r="D2242" s="188"/>
      <c r="E2242" s="252"/>
      <c r="F2242" s="252"/>
      <c r="G2242" s="252"/>
      <c r="H2242" s="252"/>
      <c r="I2242" s="14"/>
    </row>
    <row r="2243" spans="2:13" x14ac:dyDescent="0.25">
      <c r="B2243" s="1" t="s">
        <v>3331</v>
      </c>
      <c r="C2243" s="253" t="s">
        <v>2125</v>
      </c>
      <c r="D2243" s="253"/>
      <c r="E2243" s="253" t="s">
        <v>3332</v>
      </c>
      <c r="F2243" s="253"/>
      <c r="G2243" s="253" t="s">
        <v>2127</v>
      </c>
      <c r="H2243" s="253"/>
      <c r="I2243" s="14"/>
    </row>
    <row r="2244" spans="2:13" x14ac:dyDescent="0.25">
      <c r="B2244" s="1"/>
      <c r="C2244" s="189"/>
      <c r="D2244" s="189"/>
      <c r="E2244" s="253"/>
      <c r="F2244" s="253"/>
      <c r="G2244" s="253"/>
      <c r="H2244" s="253"/>
      <c r="I2244" s="14"/>
    </row>
    <row r="2245" spans="2:13" x14ac:dyDescent="0.25">
      <c r="B2245" s="11" t="s">
        <v>518</v>
      </c>
      <c r="C2245" s="252" t="s">
        <v>1053</v>
      </c>
      <c r="D2245" s="252"/>
      <c r="E2245" s="252" t="s">
        <v>2925</v>
      </c>
      <c r="F2245" s="252"/>
      <c r="G2245" s="252" t="s">
        <v>1928</v>
      </c>
      <c r="H2245" s="252"/>
      <c r="I2245" s="14"/>
    </row>
    <row r="2246" spans="2:13" x14ac:dyDescent="0.25">
      <c r="B2246" s="11"/>
      <c r="C2246" s="188"/>
      <c r="D2246" s="188"/>
      <c r="E2246" s="252"/>
      <c r="F2246" s="252"/>
      <c r="G2246" s="252"/>
      <c r="H2246" s="252"/>
      <c r="I2246" s="14"/>
    </row>
    <row r="2247" spans="2:13" x14ac:dyDescent="0.25">
      <c r="B2247" s="1" t="s">
        <v>3333</v>
      </c>
      <c r="C2247" s="253" t="s">
        <v>487</v>
      </c>
      <c r="D2247" s="253"/>
      <c r="E2247" s="253" t="s">
        <v>1131</v>
      </c>
      <c r="F2247" s="253"/>
      <c r="G2247" s="253" t="s">
        <v>742</v>
      </c>
      <c r="H2247" s="253"/>
      <c r="I2247" s="14"/>
    </row>
    <row r="2248" spans="2:13" x14ac:dyDescent="0.25">
      <c r="B2248" s="1"/>
      <c r="C2248" s="189"/>
      <c r="D2248" s="189"/>
      <c r="E2248" s="253"/>
      <c r="F2248" s="253"/>
      <c r="G2248" s="253"/>
      <c r="H2248" s="253"/>
      <c r="I2248" s="14"/>
    </row>
    <row r="2249" spans="2:13" x14ac:dyDescent="0.25">
      <c r="B2249" s="11" t="s">
        <v>3334</v>
      </c>
      <c r="C2249" s="252" t="s">
        <v>891</v>
      </c>
      <c r="D2249" s="252"/>
      <c r="E2249" s="252" t="s">
        <v>491</v>
      </c>
      <c r="F2249" s="252"/>
      <c r="G2249" s="252" t="s">
        <v>487</v>
      </c>
      <c r="H2249" s="252"/>
      <c r="I2249" s="14"/>
    </row>
    <row r="2250" spans="2:13" x14ac:dyDescent="0.25">
      <c r="B2250" s="11"/>
      <c r="C2250" s="13"/>
      <c r="D2250" s="188"/>
      <c r="E2250" s="188"/>
      <c r="F2250" s="188"/>
      <c r="G2250" s="188"/>
      <c r="H2250" s="188"/>
      <c r="I2250" s="14"/>
    </row>
    <row r="2251" spans="2:13" x14ac:dyDescent="0.25">
      <c r="B2251" s="1" t="s">
        <v>1470</v>
      </c>
      <c r="C2251" s="253" t="s">
        <v>1628</v>
      </c>
      <c r="D2251" s="253"/>
      <c r="E2251" s="253" t="s">
        <v>880</v>
      </c>
      <c r="F2251" s="253"/>
      <c r="G2251" s="253" t="s">
        <v>744</v>
      </c>
      <c r="H2251" s="253"/>
      <c r="I2251" s="14"/>
    </row>
    <row r="2252" spans="2:13" x14ac:dyDescent="0.25">
      <c r="B2252" s="1"/>
      <c r="C2252" s="189"/>
      <c r="D2252" s="189"/>
      <c r="E2252" s="189"/>
      <c r="F2252" s="189"/>
      <c r="G2252" s="189"/>
      <c r="H2252" s="189"/>
      <c r="I2252" s="14"/>
    </row>
    <row r="2253" spans="2:13" x14ac:dyDescent="0.25">
      <c r="B2253" s="11" t="s">
        <v>3335</v>
      </c>
      <c r="C2253" s="252" t="s">
        <v>1759</v>
      </c>
      <c r="D2253" s="252"/>
      <c r="E2253" s="252" t="s">
        <v>1634</v>
      </c>
      <c r="F2253" s="252"/>
      <c r="G2253" s="252" t="s">
        <v>1635</v>
      </c>
      <c r="H2253" s="252"/>
      <c r="I2253" s="14"/>
    </row>
    <row r="2254" spans="2:13" x14ac:dyDescent="0.25">
      <c r="B2254" s="11"/>
      <c r="C2254" s="188"/>
      <c r="D2254" s="188"/>
      <c r="E2254" s="188"/>
      <c r="F2254" s="188"/>
      <c r="G2254" s="188"/>
      <c r="H2254" s="188"/>
      <c r="I2254" s="14"/>
    </row>
    <row r="2255" spans="2:13" x14ac:dyDescent="0.25">
      <c r="B2255" s="1" t="s">
        <v>3336</v>
      </c>
      <c r="C2255" s="255" t="s">
        <v>3337</v>
      </c>
      <c r="D2255" s="255"/>
      <c r="E2255" s="270" t="s">
        <v>3338</v>
      </c>
      <c r="F2255" s="270"/>
      <c r="G2255" s="255" t="s">
        <v>3339</v>
      </c>
      <c r="H2255" s="255"/>
      <c r="I2255" s="14"/>
    </row>
    <row r="2256" spans="2:13" ht="15.75" thickBot="1" x14ac:dyDescent="0.3">
      <c r="B2256" s="1"/>
      <c r="C2256" s="191"/>
      <c r="D2256" s="191"/>
      <c r="E2256" s="191"/>
      <c r="F2256" s="191"/>
      <c r="G2256" s="191"/>
      <c r="H2256" s="191"/>
      <c r="I2256" s="14"/>
    </row>
    <row r="2257" spans="2:13" x14ac:dyDescent="0.25">
      <c r="B2257" s="217" t="s">
        <v>401</v>
      </c>
      <c r="C2257" s="218"/>
      <c r="D2257" s="218"/>
      <c r="E2257" s="218"/>
      <c r="F2257" s="218"/>
      <c r="G2257" s="218"/>
      <c r="H2257" s="218"/>
      <c r="I2257" s="218"/>
      <c r="J2257" s="218"/>
      <c r="K2257" s="218"/>
      <c r="L2257" s="218"/>
      <c r="M2257" s="219"/>
    </row>
    <row r="2258" spans="2:13" x14ac:dyDescent="0.25">
      <c r="B2258" s="3" t="s">
        <v>402</v>
      </c>
      <c r="C2258" s="232" t="s">
        <v>403</v>
      </c>
      <c r="D2258" s="232"/>
      <c r="E2258" s="232" t="s">
        <v>467</v>
      </c>
      <c r="F2258" s="232"/>
      <c r="G2258" s="232" t="s">
        <v>405</v>
      </c>
      <c r="H2258" s="232"/>
      <c r="I2258" s="232" t="s">
        <v>406</v>
      </c>
      <c r="J2258" s="232"/>
      <c r="K2258" s="234" t="s">
        <v>468</v>
      </c>
      <c r="L2258" s="235"/>
      <c r="M2258" s="236"/>
    </row>
    <row r="2259" spans="2:13" ht="15.75" thickBot="1" x14ac:dyDescent="0.3">
      <c r="B2259" s="5">
        <v>1.5951900000000001</v>
      </c>
      <c r="C2259" s="237"/>
      <c r="D2259" s="238"/>
      <c r="E2259" s="239">
        <v>0.19231999999999999</v>
      </c>
      <c r="F2259" s="238"/>
      <c r="G2259" s="240"/>
      <c r="H2259" s="240"/>
      <c r="I2259" s="241"/>
      <c r="J2259" s="241"/>
      <c r="K2259" s="242"/>
      <c r="L2259" s="243"/>
      <c r="M2259" s="244"/>
    </row>
    <row r="2260" spans="2:13" ht="15.75" thickBot="1" x14ac:dyDescent="0.3">
      <c r="B2260" s="1"/>
      <c r="C2260" s="1"/>
      <c r="D2260" s="1"/>
      <c r="E2260" s="1"/>
      <c r="F2260" s="1"/>
      <c r="G2260" s="1"/>
      <c r="H2260" s="1"/>
    </row>
    <row r="2261" spans="2:13" x14ac:dyDescent="0.25">
      <c r="B2261" s="217" t="s">
        <v>408</v>
      </c>
      <c r="C2261" s="218"/>
      <c r="D2261" s="218"/>
      <c r="E2261" s="218"/>
      <c r="F2261" s="218"/>
      <c r="G2261" s="218"/>
      <c r="H2261" s="218"/>
      <c r="I2261" s="218"/>
      <c r="J2261" s="218"/>
      <c r="K2261" s="218"/>
      <c r="L2261" s="218"/>
      <c r="M2261" s="219"/>
    </row>
    <row r="2262" spans="2:13" x14ac:dyDescent="0.25">
      <c r="B2262" s="3" t="s">
        <v>3340</v>
      </c>
      <c r="C2262" s="232" t="s">
        <v>3341</v>
      </c>
      <c r="D2262" s="232"/>
      <c r="E2262" s="268" t="s">
        <v>3342</v>
      </c>
      <c r="F2262" s="268"/>
      <c r="G2262" s="233" t="s">
        <v>3343</v>
      </c>
      <c r="H2262" s="233"/>
      <c r="I2262" s="232" t="s">
        <v>3344</v>
      </c>
      <c r="J2262" s="232"/>
      <c r="K2262" s="232" t="s">
        <v>3345</v>
      </c>
      <c r="L2262" s="232"/>
      <c r="M2262" s="269"/>
    </row>
    <row r="2263" spans="2:13" ht="15.75" thickBot="1" x14ac:dyDescent="0.3">
      <c r="B2263" s="5" t="s">
        <v>1332</v>
      </c>
      <c r="C2263" s="240" t="s">
        <v>3346</v>
      </c>
      <c r="D2263" s="240"/>
      <c r="E2263" s="240" t="s">
        <v>3347</v>
      </c>
      <c r="F2263" s="240"/>
      <c r="G2263" s="240" t="s">
        <v>3348</v>
      </c>
      <c r="H2263" s="240"/>
      <c r="I2263" s="266" t="s">
        <v>3349</v>
      </c>
      <c r="J2263" s="266"/>
      <c r="K2263" s="240" t="s">
        <v>3350</v>
      </c>
      <c r="L2263" s="240"/>
      <c r="M2263" s="267"/>
    </row>
    <row r="2265" spans="2:13" ht="23.25" x14ac:dyDescent="0.35">
      <c r="B2265" s="29" t="s">
        <v>334</v>
      </c>
      <c r="C2265" s="229" t="s">
        <v>148</v>
      </c>
      <c r="D2265" s="229"/>
      <c r="E2265" s="229"/>
      <c r="F2265" s="229"/>
      <c r="G2265" s="229"/>
      <c r="H2265" s="229"/>
      <c r="I2265" s="229"/>
      <c r="J2265" s="229"/>
    </row>
    <row r="2266" spans="2:13" ht="18.75" x14ac:dyDescent="0.3">
      <c r="B2266" s="12" t="s">
        <v>335</v>
      </c>
      <c r="C2266" s="195" t="s">
        <v>336</v>
      </c>
      <c r="D2266" s="228" t="s">
        <v>427</v>
      </c>
      <c r="E2266" s="228"/>
      <c r="F2266" s="14" t="s">
        <v>3351</v>
      </c>
      <c r="L2266" s="12" t="s">
        <v>339</v>
      </c>
      <c r="M2266" s="6" t="s">
        <v>147</v>
      </c>
    </row>
    <row r="2268" spans="2:13" x14ac:dyDescent="0.25">
      <c r="B2268" s="2" t="s">
        <v>341</v>
      </c>
      <c r="C2268" s="250" t="s">
        <v>3352</v>
      </c>
      <c r="D2268" s="250"/>
      <c r="E2268" s="250" t="s">
        <v>1260</v>
      </c>
      <c r="F2268" s="250"/>
      <c r="G2268" s="250" t="s">
        <v>954</v>
      </c>
      <c r="H2268" s="250"/>
      <c r="I2268" s="228" t="s">
        <v>345</v>
      </c>
      <c r="J2268" s="228"/>
      <c r="K2268" s="228"/>
      <c r="L2268" s="228"/>
      <c r="M2268" s="228"/>
    </row>
    <row r="2269" spans="2:13" x14ac:dyDescent="0.25">
      <c r="C2269" s="251"/>
      <c r="D2269" s="251"/>
      <c r="E2269" s="251"/>
      <c r="F2269" s="251"/>
      <c r="G2269" s="251"/>
      <c r="H2269" s="251"/>
      <c r="I2269" s="7"/>
      <c r="J2269" s="7"/>
      <c r="K2269" s="7"/>
      <c r="L2269" s="7"/>
      <c r="M2269" s="7"/>
    </row>
    <row r="2270" spans="2:13" x14ac:dyDescent="0.25">
      <c r="B2270" s="11" t="s">
        <v>3353</v>
      </c>
      <c r="C2270" s="252" t="s">
        <v>3354</v>
      </c>
      <c r="D2270" s="252"/>
      <c r="E2270" s="252" t="s">
        <v>978</v>
      </c>
      <c r="F2270" s="252"/>
      <c r="G2270" s="252" t="s">
        <v>3355</v>
      </c>
      <c r="H2270" s="252"/>
      <c r="I2270" s="14" t="s">
        <v>3356</v>
      </c>
      <c r="J2270" s="7"/>
      <c r="K2270" s="7"/>
      <c r="L2270" s="7"/>
      <c r="M2270" s="7"/>
    </row>
    <row r="2271" spans="2:13" x14ac:dyDescent="0.25">
      <c r="B2271" s="13" t="s">
        <v>3357</v>
      </c>
      <c r="C2271" s="252" t="s">
        <v>363</v>
      </c>
      <c r="D2271" s="252"/>
      <c r="E2271" s="252" t="s">
        <v>3358</v>
      </c>
      <c r="F2271" s="252"/>
      <c r="G2271" s="252" t="s">
        <v>3359</v>
      </c>
      <c r="H2271" s="252"/>
      <c r="I2271" s="14" t="s">
        <v>3360</v>
      </c>
      <c r="J2271" s="7"/>
      <c r="K2271" s="7"/>
      <c r="L2271" s="7"/>
      <c r="M2271" s="7"/>
    </row>
    <row r="2272" spans="2:13" x14ac:dyDescent="0.25">
      <c r="B2272" s="1" t="s">
        <v>3361</v>
      </c>
      <c r="C2272" s="253" t="s">
        <v>1751</v>
      </c>
      <c r="D2272" s="253"/>
      <c r="E2272" s="253" t="s">
        <v>1355</v>
      </c>
      <c r="F2272" s="253"/>
      <c r="G2272" s="253" t="s">
        <v>3362</v>
      </c>
      <c r="H2272" s="253"/>
      <c r="I2272" s="14" t="s">
        <v>3363</v>
      </c>
      <c r="J2272" s="7"/>
      <c r="K2272" s="7"/>
      <c r="L2272" s="7"/>
      <c r="M2272" s="7"/>
    </row>
    <row r="2273" spans="2:13" x14ac:dyDescent="0.25">
      <c r="B2273" s="1"/>
      <c r="C2273" s="253"/>
      <c r="D2273" s="253"/>
      <c r="E2273" s="253"/>
      <c r="F2273" s="253"/>
      <c r="G2273" s="253"/>
      <c r="H2273" s="253"/>
      <c r="I2273" s="14" t="s">
        <v>3364</v>
      </c>
      <c r="J2273" s="7"/>
      <c r="K2273" s="7"/>
      <c r="L2273" s="7"/>
      <c r="M2273" s="7"/>
    </row>
    <row r="2274" spans="2:13" x14ac:dyDescent="0.25">
      <c r="B2274" s="11" t="s">
        <v>1952</v>
      </c>
      <c r="C2274" s="252" t="s">
        <v>1429</v>
      </c>
      <c r="D2274" s="252"/>
      <c r="E2274" s="252" t="s">
        <v>1630</v>
      </c>
      <c r="F2274" s="252"/>
      <c r="G2274" s="252" t="s">
        <v>1052</v>
      </c>
      <c r="H2274" s="252"/>
      <c r="I2274" s="14" t="s">
        <v>3365</v>
      </c>
      <c r="J2274" s="7"/>
      <c r="K2274" s="7"/>
      <c r="L2274" s="7"/>
      <c r="M2274" s="7"/>
    </row>
    <row r="2275" spans="2:13" x14ac:dyDescent="0.25">
      <c r="B2275" s="11"/>
      <c r="C2275" s="188"/>
      <c r="D2275" s="188"/>
      <c r="E2275" s="252"/>
      <c r="F2275" s="252"/>
      <c r="G2275" s="252"/>
      <c r="H2275" s="252"/>
      <c r="I2275" s="14" t="s">
        <v>3366</v>
      </c>
      <c r="J2275" s="7"/>
      <c r="K2275" s="7"/>
      <c r="L2275" s="7"/>
      <c r="M2275" s="7"/>
    </row>
    <row r="2276" spans="2:13" x14ac:dyDescent="0.25">
      <c r="B2276" s="1" t="s">
        <v>548</v>
      </c>
      <c r="C2276" s="253" t="s">
        <v>3367</v>
      </c>
      <c r="D2276" s="253"/>
      <c r="E2276" s="253" t="s">
        <v>1104</v>
      </c>
      <c r="F2276" s="253"/>
      <c r="G2276" s="253" t="s">
        <v>1100</v>
      </c>
      <c r="H2276" s="253"/>
      <c r="I2276" s="14" t="s">
        <v>3368</v>
      </c>
      <c r="J2276" s="7"/>
      <c r="K2276" s="7"/>
      <c r="L2276" s="7"/>
      <c r="M2276" s="7"/>
    </row>
    <row r="2277" spans="2:13" x14ac:dyDescent="0.25">
      <c r="B2277" s="1"/>
      <c r="C2277" s="189"/>
      <c r="D2277" s="189"/>
      <c r="E2277" s="253"/>
      <c r="F2277" s="253"/>
      <c r="G2277" s="253"/>
      <c r="H2277" s="253"/>
      <c r="I2277" s="14" t="s">
        <v>3369</v>
      </c>
      <c r="J2277" s="7"/>
      <c r="K2277" s="7"/>
      <c r="L2277" s="7"/>
      <c r="M2277" s="7"/>
    </row>
    <row r="2278" spans="2:13" x14ac:dyDescent="0.25">
      <c r="B2278" s="11" t="s">
        <v>1046</v>
      </c>
      <c r="C2278" s="252" t="s">
        <v>1429</v>
      </c>
      <c r="D2278" s="252"/>
      <c r="E2278" s="252" t="s">
        <v>1630</v>
      </c>
      <c r="F2278" s="252"/>
      <c r="G2278" s="252" t="s">
        <v>1052</v>
      </c>
      <c r="H2278" s="252"/>
      <c r="I2278" s="64" t="s">
        <v>3370</v>
      </c>
      <c r="K2278" s="7"/>
      <c r="L2278" s="7"/>
      <c r="M2278" s="7"/>
    </row>
    <row r="2279" spans="2:13" x14ac:dyDescent="0.25">
      <c r="B2279" s="11"/>
      <c r="C2279" s="188"/>
      <c r="D2279" s="188"/>
      <c r="E2279" s="252"/>
      <c r="F2279" s="252"/>
      <c r="G2279" s="252"/>
      <c r="H2279" s="252"/>
      <c r="I2279" s="14" t="s">
        <v>3371</v>
      </c>
      <c r="J2279" s="7"/>
      <c r="K2279" s="7"/>
      <c r="L2279" s="7"/>
      <c r="M2279" s="7"/>
    </row>
    <row r="2280" spans="2:13" x14ac:dyDescent="0.25">
      <c r="B2280" s="1" t="s">
        <v>3372</v>
      </c>
      <c r="C2280" s="253" t="s">
        <v>3102</v>
      </c>
      <c r="D2280" s="253"/>
      <c r="E2280" s="253" t="s">
        <v>3281</v>
      </c>
      <c r="F2280" s="253"/>
      <c r="G2280" s="253" t="s">
        <v>985</v>
      </c>
      <c r="H2280" s="253"/>
      <c r="I2280" s="14" t="s">
        <v>3373</v>
      </c>
      <c r="J2280" s="14"/>
      <c r="K2280" s="7"/>
      <c r="L2280" s="7"/>
      <c r="M2280" s="7"/>
    </row>
    <row r="2281" spans="2:13" x14ac:dyDescent="0.25">
      <c r="B2281" s="1"/>
      <c r="C2281" s="189"/>
      <c r="D2281" s="189"/>
      <c r="E2281" s="253"/>
      <c r="F2281" s="253"/>
      <c r="G2281" s="253"/>
      <c r="H2281" s="253"/>
      <c r="I2281" s="14" t="s">
        <v>3374</v>
      </c>
      <c r="J2281" s="14"/>
      <c r="K2281" s="7"/>
      <c r="L2281" s="7"/>
      <c r="M2281" s="7"/>
    </row>
    <row r="2282" spans="2:13" x14ac:dyDescent="0.25">
      <c r="B2282" s="11" t="s">
        <v>3375</v>
      </c>
      <c r="C2282" s="265" t="s">
        <v>1577</v>
      </c>
      <c r="D2282" s="265"/>
      <c r="E2282" s="252" t="s">
        <v>3376</v>
      </c>
      <c r="F2282" s="252"/>
      <c r="G2282" s="252" t="s">
        <v>596</v>
      </c>
      <c r="H2282" s="252"/>
      <c r="I2282" s="14" t="s">
        <v>3377</v>
      </c>
      <c r="K2282" s="7"/>
      <c r="L2282" s="7"/>
      <c r="M2282" s="7"/>
    </row>
    <row r="2283" spans="2:13" x14ac:dyDescent="0.25">
      <c r="B2283" s="11"/>
      <c r="C2283" s="188"/>
      <c r="D2283" s="188"/>
      <c r="E2283" s="252"/>
      <c r="F2283" s="252"/>
      <c r="G2283" s="252"/>
      <c r="H2283" s="252"/>
      <c r="I2283" s="14" t="s">
        <v>3378</v>
      </c>
    </row>
    <row r="2284" spans="2:13" x14ac:dyDescent="0.25">
      <c r="B2284" s="1" t="s">
        <v>3379</v>
      </c>
      <c r="C2284" s="253" t="s">
        <v>1577</v>
      </c>
      <c r="D2284" s="253"/>
      <c r="E2284" s="253" t="s">
        <v>3376</v>
      </c>
      <c r="F2284" s="253"/>
      <c r="G2284" s="253" t="s">
        <v>596</v>
      </c>
      <c r="H2284" s="253"/>
      <c r="I2284" s="14" t="s">
        <v>3380</v>
      </c>
    </row>
    <row r="2285" spans="2:13" ht="15.75" thickBot="1" x14ac:dyDescent="0.3">
      <c r="B2285" s="1"/>
      <c r="C2285" s="189"/>
      <c r="D2285" s="189"/>
      <c r="E2285" s="253"/>
      <c r="F2285" s="253"/>
      <c r="G2285" s="253"/>
      <c r="H2285" s="253"/>
      <c r="I2285" s="14"/>
    </row>
    <row r="2286" spans="2:13" x14ac:dyDescent="0.25">
      <c r="B2286" s="217" t="s">
        <v>401</v>
      </c>
      <c r="C2286" s="218"/>
      <c r="D2286" s="218"/>
      <c r="E2286" s="218"/>
      <c r="F2286" s="218"/>
      <c r="G2286" s="218"/>
      <c r="H2286" s="218"/>
      <c r="I2286" s="218"/>
      <c r="J2286" s="218"/>
      <c r="K2286" s="218"/>
      <c r="L2286" s="218"/>
      <c r="M2286" s="219"/>
    </row>
    <row r="2287" spans="2:13" x14ac:dyDescent="0.25">
      <c r="B2287" s="3" t="s">
        <v>402</v>
      </c>
      <c r="C2287" s="232" t="s">
        <v>403</v>
      </c>
      <c r="D2287" s="232"/>
      <c r="E2287" s="232" t="s">
        <v>467</v>
      </c>
      <c r="F2287" s="232"/>
      <c r="G2287" s="232" t="s">
        <v>405</v>
      </c>
      <c r="H2287" s="232"/>
      <c r="I2287" s="232" t="s">
        <v>406</v>
      </c>
      <c r="J2287" s="232"/>
      <c r="K2287" s="234" t="s">
        <v>468</v>
      </c>
      <c r="L2287" s="235"/>
      <c r="M2287" s="236"/>
    </row>
    <row r="2288" spans="2:13" ht="15.75" thickBot="1" x14ac:dyDescent="0.3">
      <c r="B2288" s="5">
        <v>3.72</v>
      </c>
      <c r="C2288" s="237">
        <v>3.5</v>
      </c>
      <c r="D2288" s="238"/>
      <c r="E2288" s="239">
        <v>0.1</v>
      </c>
      <c r="F2288" s="238"/>
      <c r="G2288" s="240"/>
      <c r="H2288" s="240"/>
      <c r="I2288" s="241"/>
      <c r="J2288" s="241"/>
      <c r="K2288" s="242"/>
      <c r="L2288" s="243"/>
      <c r="M2288" s="244"/>
    </row>
    <row r="2289" spans="2:13" ht="15.75" thickBot="1" x14ac:dyDescent="0.3">
      <c r="B2289" s="1"/>
      <c r="C2289" s="1"/>
      <c r="D2289" s="1"/>
      <c r="E2289" s="1"/>
      <c r="F2289" s="1"/>
      <c r="G2289" s="1"/>
      <c r="H2289" s="1"/>
    </row>
    <row r="2290" spans="2:13" x14ac:dyDescent="0.25">
      <c r="B2290" s="217" t="s">
        <v>408</v>
      </c>
      <c r="C2290" s="218"/>
      <c r="D2290" s="218"/>
      <c r="E2290" s="218"/>
      <c r="F2290" s="218"/>
      <c r="G2290" s="218"/>
      <c r="H2290" s="218"/>
      <c r="I2290" s="218"/>
      <c r="J2290" s="218"/>
      <c r="K2290" s="218"/>
      <c r="L2290" s="218"/>
      <c r="M2290" s="219"/>
    </row>
    <row r="2291" spans="2:13" x14ac:dyDescent="0.25">
      <c r="B2291" s="3" t="s">
        <v>3381</v>
      </c>
      <c r="C2291" s="232" t="s">
        <v>3382</v>
      </c>
      <c r="D2291" s="232"/>
      <c r="E2291" s="268" t="s">
        <v>3056</v>
      </c>
      <c r="F2291" s="268"/>
      <c r="G2291" s="233" t="s">
        <v>3383</v>
      </c>
      <c r="H2291" s="233"/>
      <c r="I2291" s="232" t="s">
        <v>3384</v>
      </c>
      <c r="J2291" s="232"/>
      <c r="K2291" s="232" t="s">
        <v>3385</v>
      </c>
      <c r="L2291" s="232"/>
      <c r="M2291" s="269"/>
    </row>
    <row r="2292" spans="2:13" ht="15.75" thickBot="1" x14ac:dyDescent="0.3">
      <c r="B2292" s="5" t="s">
        <v>1249</v>
      </c>
      <c r="C2292" s="240" t="s">
        <v>3386</v>
      </c>
      <c r="D2292" s="240"/>
      <c r="E2292" s="240" t="s">
        <v>3387</v>
      </c>
      <c r="F2292" s="240"/>
      <c r="G2292" s="240" t="s">
        <v>3388</v>
      </c>
      <c r="H2292" s="240"/>
      <c r="I2292" s="266" t="s">
        <v>3389</v>
      </c>
      <c r="J2292" s="266"/>
      <c r="K2292" s="240" t="s">
        <v>3390</v>
      </c>
      <c r="L2292" s="240"/>
      <c r="M2292" s="267"/>
    </row>
    <row r="2294" spans="2:13" ht="23.25" x14ac:dyDescent="0.35">
      <c r="B2294" s="29" t="s">
        <v>334</v>
      </c>
      <c r="C2294" s="229" t="s">
        <v>214</v>
      </c>
      <c r="D2294" s="229"/>
      <c r="E2294" s="229"/>
      <c r="F2294" s="229"/>
      <c r="G2294" s="229"/>
      <c r="H2294" s="229"/>
      <c r="I2294" s="229"/>
      <c r="J2294" s="229"/>
    </row>
    <row r="2295" spans="2:13" ht="18.75" x14ac:dyDescent="0.3">
      <c r="B2295" s="12" t="s">
        <v>335</v>
      </c>
      <c r="C2295" s="195" t="s">
        <v>336</v>
      </c>
      <c r="D2295" s="228" t="s">
        <v>427</v>
      </c>
      <c r="E2295" s="228"/>
      <c r="F2295" s="1" t="s">
        <v>2096</v>
      </c>
      <c r="L2295" s="12" t="s">
        <v>339</v>
      </c>
      <c r="M2295" s="6" t="s">
        <v>213</v>
      </c>
    </row>
    <row r="2297" spans="2:13" x14ac:dyDescent="0.25">
      <c r="B2297" s="2" t="s">
        <v>341</v>
      </c>
      <c r="C2297" s="250" t="s">
        <v>342</v>
      </c>
      <c r="D2297" s="250"/>
      <c r="E2297" s="250" t="s">
        <v>1260</v>
      </c>
      <c r="F2297" s="250"/>
      <c r="G2297" s="250" t="s">
        <v>954</v>
      </c>
      <c r="H2297" s="250"/>
      <c r="I2297" s="228" t="s">
        <v>345</v>
      </c>
      <c r="J2297" s="228"/>
      <c r="K2297" s="228"/>
      <c r="L2297" s="228"/>
      <c r="M2297" s="228"/>
    </row>
    <row r="2298" spans="2:13" x14ac:dyDescent="0.25">
      <c r="C2298" s="251"/>
      <c r="D2298" s="251"/>
      <c r="E2298" s="251"/>
      <c r="F2298" s="251"/>
      <c r="G2298" s="251"/>
      <c r="H2298" s="251"/>
      <c r="I2298" s="7"/>
      <c r="J2298" s="7"/>
      <c r="K2298" s="7"/>
      <c r="L2298" s="7"/>
      <c r="M2298" s="7"/>
    </row>
    <row r="2299" spans="2:13" x14ac:dyDescent="0.25">
      <c r="B2299" s="11" t="s">
        <v>1966</v>
      </c>
      <c r="C2299" s="252" t="s">
        <v>1208</v>
      </c>
      <c r="D2299" s="252"/>
      <c r="E2299" s="252" t="s">
        <v>463</v>
      </c>
      <c r="F2299" s="252"/>
      <c r="G2299" s="252" t="s">
        <v>1210</v>
      </c>
      <c r="H2299" s="252"/>
      <c r="I2299" s="14" t="s">
        <v>3391</v>
      </c>
      <c r="J2299" s="7"/>
      <c r="K2299" s="7"/>
      <c r="L2299" s="7"/>
      <c r="M2299" s="7"/>
    </row>
    <row r="2300" spans="2:13" x14ac:dyDescent="0.25">
      <c r="B2300" s="11"/>
      <c r="C2300" s="188"/>
      <c r="D2300" s="188"/>
      <c r="E2300" s="252"/>
      <c r="F2300" s="252"/>
      <c r="G2300" s="252"/>
      <c r="H2300" s="252"/>
      <c r="I2300" s="14" t="s">
        <v>3392</v>
      </c>
      <c r="J2300" s="7"/>
      <c r="K2300" s="7"/>
      <c r="L2300" s="7"/>
      <c r="M2300" s="7"/>
    </row>
    <row r="2301" spans="2:13" x14ac:dyDescent="0.25">
      <c r="B2301" s="1" t="s">
        <v>2217</v>
      </c>
      <c r="C2301" s="253" t="s">
        <v>3087</v>
      </c>
      <c r="D2301" s="253"/>
      <c r="E2301" s="253" t="s">
        <v>3148</v>
      </c>
      <c r="F2301" s="253"/>
      <c r="G2301" s="253" t="s">
        <v>3089</v>
      </c>
      <c r="H2301" s="253"/>
      <c r="I2301" s="14" t="s">
        <v>3393</v>
      </c>
      <c r="J2301" s="7"/>
      <c r="K2301" s="7"/>
      <c r="L2301" s="7"/>
      <c r="M2301" s="7"/>
    </row>
    <row r="2302" spans="2:13" x14ac:dyDescent="0.25">
      <c r="B2302" s="1"/>
      <c r="C2302" s="253"/>
      <c r="D2302" s="253"/>
      <c r="E2302" s="253"/>
      <c r="F2302" s="253"/>
      <c r="G2302" s="253"/>
      <c r="H2302" s="253"/>
      <c r="I2302" s="14" t="s">
        <v>3394</v>
      </c>
      <c r="J2302" s="7"/>
      <c r="K2302" s="7"/>
      <c r="L2302" s="7"/>
      <c r="M2302" s="7"/>
    </row>
    <row r="2303" spans="2:13" x14ac:dyDescent="0.25">
      <c r="B2303" s="11" t="s">
        <v>2153</v>
      </c>
      <c r="C2303" s="252" t="s">
        <v>3395</v>
      </c>
      <c r="D2303" s="252"/>
      <c r="E2303" s="252" t="s">
        <v>3396</v>
      </c>
      <c r="F2303" s="252"/>
      <c r="G2303" s="252" t="s">
        <v>3397</v>
      </c>
      <c r="H2303" s="252"/>
      <c r="I2303" s="14" t="s">
        <v>3398</v>
      </c>
      <c r="J2303" s="7"/>
      <c r="K2303" s="7"/>
      <c r="L2303" s="7"/>
      <c r="M2303" s="7"/>
    </row>
    <row r="2304" spans="2:13" x14ac:dyDescent="0.25">
      <c r="B2304" s="11"/>
      <c r="C2304" s="188"/>
      <c r="D2304" s="188"/>
      <c r="E2304" s="252"/>
      <c r="F2304" s="252"/>
      <c r="G2304" s="252"/>
      <c r="H2304" s="252"/>
      <c r="I2304" s="14" t="s">
        <v>3399</v>
      </c>
      <c r="J2304" s="7"/>
      <c r="K2304" s="7"/>
      <c r="L2304" s="7"/>
      <c r="M2304" s="7"/>
    </row>
    <row r="2305" spans="2:13" x14ac:dyDescent="0.25">
      <c r="B2305" s="1" t="s">
        <v>3400</v>
      </c>
      <c r="C2305" s="253" t="s">
        <v>382</v>
      </c>
      <c r="D2305" s="253"/>
      <c r="E2305" s="253" t="s">
        <v>789</v>
      </c>
      <c r="F2305" s="253"/>
      <c r="G2305" s="253" t="s">
        <v>383</v>
      </c>
      <c r="H2305" s="253"/>
      <c r="I2305" s="14" t="s">
        <v>3401</v>
      </c>
      <c r="J2305" s="7"/>
      <c r="K2305" s="7"/>
      <c r="L2305" s="7"/>
      <c r="M2305" s="7"/>
    </row>
    <row r="2306" spans="2:13" x14ac:dyDescent="0.25">
      <c r="B2306" s="1"/>
      <c r="C2306" s="189"/>
      <c r="D2306" s="189"/>
      <c r="E2306" s="253"/>
      <c r="F2306" s="253"/>
      <c r="G2306" s="253"/>
      <c r="H2306" s="253"/>
      <c r="I2306" s="14" t="s">
        <v>3402</v>
      </c>
      <c r="J2306" s="7"/>
      <c r="K2306" s="7"/>
      <c r="L2306" s="7"/>
      <c r="M2306" s="7"/>
    </row>
    <row r="2307" spans="2:13" x14ac:dyDescent="0.25">
      <c r="B2307" s="11" t="s">
        <v>3403</v>
      </c>
      <c r="C2307" s="252" t="s">
        <v>3404</v>
      </c>
      <c r="D2307" s="252"/>
      <c r="E2307" s="252" t="s">
        <v>3405</v>
      </c>
      <c r="F2307" s="252"/>
      <c r="G2307" s="252" t="s">
        <v>3406</v>
      </c>
      <c r="H2307" s="252"/>
      <c r="I2307" s="64" t="s">
        <v>3407</v>
      </c>
      <c r="K2307" s="7"/>
      <c r="L2307" s="7"/>
      <c r="M2307" s="7"/>
    </row>
    <row r="2308" spans="2:13" x14ac:dyDescent="0.25">
      <c r="B2308" s="11"/>
      <c r="C2308" s="188"/>
      <c r="D2308" s="188"/>
      <c r="E2308" s="252"/>
      <c r="F2308" s="252"/>
      <c r="G2308" s="252"/>
      <c r="H2308" s="252"/>
      <c r="I2308" s="14" t="s">
        <v>3408</v>
      </c>
      <c r="J2308" s="7"/>
      <c r="K2308" s="7"/>
      <c r="L2308" s="7"/>
      <c r="M2308" s="7"/>
    </row>
    <row r="2309" spans="2:13" x14ac:dyDescent="0.25">
      <c r="B2309" s="1" t="s">
        <v>3409</v>
      </c>
      <c r="C2309" s="253" t="s">
        <v>1208</v>
      </c>
      <c r="D2309" s="253"/>
      <c r="E2309" s="253" t="s">
        <v>463</v>
      </c>
      <c r="F2309" s="253"/>
      <c r="G2309" s="253" t="s">
        <v>1210</v>
      </c>
      <c r="H2309" s="253"/>
      <c r="I2309" s="14" t="s">
        <v>3410</v>
      </c>
      <c r="J2309" s="14"/>
      <c r="K2309" s="7"/>
      <c r="L2309" s="7"/>
      <c r="M2309" s="7"/>
    </row>
    <row r="2310" spans="2:13" x14ac:dyDescent="0.25">
      <c r="B2310" s="1"/>
      <c r="C2310" s="189"/>
      <c r="D2310" s="189"/>
      <c r="E2310" s="253"/>
      <c r="F2310" s="253"/>
      <c r="G2310" s="253"/>
      <c r="H2310" s="253"/>
      <c r="I2310" s="14" t="s">
        <v>3411</v>
      </c>
      <c r="J2310" s="14"/>
      <c r="K2310" s="7"/>
      <c r="L2310" s="7"/>
      <c r="M2310" s="7"/>
    </row>
    <row r="2311" spans="2:13" x14ac:dyDescent="0.25">
      <c r="B2311" s="11" t="s">
        <v>3412</v>
      </c>
      <c r="C2311" s="265" t="s">
        <v>3087</v>
      </c>
      <c r="D2311" s="265"/>
      <c r="E2311" s="252" t="s">
        <v>3148</v>
      </c>
      <c r="F2311" s="252"/>
      <c r="G2311" s="252" t="s">
        <v>3089</v>
      </c>
      <c r="H2311" s="252"/>
      <c r="I2311" s="14" t="s">
        <v>3413</v>
      </c>
      <c r="K2311" s="7"/>
      <c r="L2311" s="7"/>
      <c r="M2311" s="7"/>
    </row>
    <row r="2312" spans="2:13" x14ac:dyDescent="0.25">
      <c r="B2312" s="11"/>
      <c r="C2312" s="188"/>
      <c r="D2312" s="188"/>
      <c r="E2312" s="252"/>
      <c r="F2312" s="252"/>
      <c r="G2312" s="252"/>
      <c r="H2312" s="252"/>
      <c r="I2312" s="14"/>
    </row>
    <row r="2313" spans="2:13" x14ac:dyDescent="0.25">
      <c r="B2313" s="1" t="s">
        <v>3414</v>
      </c>
      <c r="C2313" s="253" t="s">
        <v>3415</v>
      </c>
      <c r="D2313" s="253"/>
      <c r="E2313" s="253" t="s">
        <v>2125</v>
      </c>
      <c r="F2313" s="253"/>
      <c r="G2313" s="253" t="s">
        <v>2932</v>
      </c>
      <c r="H2313" s="253"/>
      <c r="I2313" s="14"/>
    </row>
    <row r="2314" spans="2:13" x14ac:dyDescent="0.25">
      <c r="B2314" s="1"/>
      <c r="C2314" s="189"/>
      <c r="D2314" s="189"/>
      <c r="E2314" s="253"/>
      <c r="F2314" s="253"/>
      <c r="G2314" s="253"/>
      <c r="H2314" s="253"/>
      <c r="I2314" s="14"/>
    </row>
    <row r="2315" spans="2:13" x14ac:dyDescent="0.25">
      <c r="B2315" s="11" t="s">
        <v>548</v>
      </c>
      <c r="C2315" s="252" t="s">
        <v>1654</v>
      </c>
      <c r="D2315" s="252"/>
      <c r="E2315" s="252" t="s">
        <v>1654</v>
      </c>
      <c r="F2315" s="252"/>
      <c r="G2315" s="252" t="s">
        <v>1654</v>
      </c>
      <c r="H2315" s="252"/>
      <c r="I2315" s="14"/>
    </row>
    <row r="2316" spans="2:13" x14ac:dyDescent="0.25">
      <c r="B2316" s="11"/>
      <c r="C2316" s="188"/>
      <c r="D2316" s="188"/>
      <c r="E2316" s="252"/>
      <c r="F2316" s="252"/>
      <c r="G2316" s="252"/>
      <c r="H2316" s="252"/>
      <c r="I2316" s="14"/>
    </row>
    <row r="2317" spans="2:13" x14ac:dyDescent="0.25">
      <c r="B2317" s="1" t="s">
        <v>3416</v>
      </c>
      <c r="C2317" s="253" t="s">
        <v>3087</v>
      </c>
      <c r="D2317" s="253"/>
      <c r="E2317" s="253" t="s">
        <v>3148</v>
      </c>
      <c r="F2317" s="253"/>
      <c r="G2317" s="253" t="s">
        <v>3089</v>
      </c>
      <c r="H2317" s="253"/>
      <c r="I2317" s="14"/>
    </row>
    <row r="2318" spans="2:13" x14ac:dyDescent="0.25">
      <c r="B2318" s="1" t="s">
        <v>3417</v>
      </c>
      <c r="C2318" s="189"/>
      <c r="D2318" s="189"/>
      <c r="E2318" s="253"/>
      <c r="F2318" s="253"/>
      <c r="G2318" s="253"/>
      <c r="H2318" s="253"/>
      <c r="I2318" s="14"/>
    </row>
    <row r="2319" spans="2:13" x14ac:dyDescent="0.25">
      <c r="B2319" s="11" t="s">
        <v>1408</v>
      </c>
      <c r="C2319" s="252" t="s">
        <v>399</v>
      </c>
      <c r="D2319" s="252"/>
      <c r="E2319" s="252" t="s">
        <v>1497</v>
      </c>
      <c r="F2319" s="252"/>
      <c r="G2319" s="252" t="s">
        <v>1019</v>
      </c>
      <c r="H2319" s="252"/>
      <c r="I2319" s="14"/>
    </row>
    <row r="2320" spans="2:13" x14ac:dyDescent="0.25">
      <c r="B2320" s="11"/>
      <c r="C2320" s="13"/>
      <c r="D2320" s="188"/>
      <c r="E2320" s="188"/>
      <c r="F2320" s="188"/>
      <c r="G2320" s="188"/>
      <c r="H2320" s="188"/>
      <c r="I2320" s="14"/>
    </row>
    <row r="2321" spans="2:13" x14ac:dyDescent="0.25">
      <c r="B2321" s="1" t="s">
        <v>3418</v>
      </c>
      <c r="C2321" s="253" t="s">
        <v>3419</v>
      </c>
      <c r="D2321" s="253"/>
      <c r="E2321" s="253" t="s">
        <v>3419</v>
      </c>
      <c r="F2321" s="253"/>
      <c r="G2321" s="253" t="s">
        <v>3419</v>
      </c>
      <c r="H2321" s="253"/>
      <c r="I2321" s="14"/>
    </row>
    <row r="2322" spans="2:13" x14ac:dyDescent="0.25">
      <c r="B2322" s="1" t="s">
        <v>3420</v>
      </c>
      <c r="C2322" s="189"/>
      <c r="D2322" s="189"/>
      <c r="E2322" s="189"/>
      <c r="F2322" s="189"/>
      <c r="G2322" s="189"/>
      <c r="H2322" s="189"/>
      <c r="I2322" s="14"/>
    </row>
    <row r="2323" spans="2:13" x14ac:dyDescent="0.25">
      <c r="B2323" s="11" t="s">
        <v>3421</v>
      </c>
      <c r="C2323" s="252" t="s">
        <v>1847</v>
      </c>
      <c r="D2323" s="252"/>
      <c r="E2323" s="252" t="s">
        <v>446</v>
      </c>
      <c r="F2323" s="252"/>
      <c r="G2323" s="252" t="s">
        <v>3422</v>
      </c>
      <c r="H2323" s="252"/>
      <c r="I2323" s="14"/>
    </row>
    <row r="2324" spans="2:13" ht="15.75" thickBot="1" x14ac:dyDescent="0.3">
      <c r="B2324" s="11" t="s">
        <v>3423</v>
      </c>
      <c r="C2324" s="188"/>
      <c r="D2324" s="188"/>
      <c r="E2324" s="188"/>
      <c r="F2324" s="188"/>
      <c r="G2324" s="188"/>
      <c r="H2324" s="188"/>
      <c r="I2324" s="14"/>
    </row>
    <row r="2325" spans="2:13" x14ac:dyDescent="0.25">
      <c r="B2325" s="217" t="s">
        <v>401</v>
      </c>
      <c r="C2325" s="218"/>
      <c r="D2325" s="218"/>
      <c r="E2325" s="218"/>
      <c r="F2325" s="218"/>
      <c r="G2325" s="218"/>
      <c r="H2325" s="218"/>
      <c r="I2325" s="218"/>
      <c r="J2325" s="218"/>
      <c r="K2325" s="218"/>
      <c r="L2325" s="218"/>
      <c r="M2325" s="219"/>
    </row>
    <row r="2326" spans="2:13" x14ac:dyDescent="0.25">
      <c r="B2326" s="3" t="s">
        <v>402</v>
      </c>
      <c r="C2326" s="232" t="s">
        <v>403</v>
      </c>
      <c r="D2326" s="232"/>
      <c r="E2326" s="232" t="s">
        <v>467</v>
      </c>
      <c r="F2326" s="232"/>
      <c r="G2326" s="232" t="s">
        <v>405</v>
      </c>
      <c r="H2326" s="232"/>
      <c r="I2326" s="232" t="s">
        <v>406</v>
      </c>
      <c r="J2326" s="232"/>
      <c r="K2326" s="234" t="s">
        <v>468</v>
      </c>
      <c r="L2326" s="235"/>
      <c r="M2326" s="236"/>
    </row>
    <row r="2327" spans="2:13" ht="15.75" thickBot="1" x14ac:dyDescent="0.3">
      <c r="B2327" s="5"/>
      <c r="C2327" s="237"/>
      <c r="D2327" s="238"/>
      <c r="E2327" s="239">
        <v>0.34244000000000002</v>
      </c>
      <c r="F2327" s="238"/>
      <c r="G2327" s="240">
        <v>2.1170000000000001E-2</v>
      </c>
      <c r="H2327" s="240"/>
      <c r="I2327" s="241"/>
      <c r="J2327" s="241"/>
      <c r="K2327" s="242"/>
      <c r="L2327" s="243"/>
      <c r="M2327" s="244"/>
    </row>
    <row r="2328" spans="2:13" ht="15.75" thickBot="1" x14ac:dyDescent="0.3">
      <c r="B2328" s="1"/>
      <c r="C2328" s="1"/>
      <c r="D2328" s="1"/>
      <c r="E2328" s="1"/>
      <c r="F2328" s="1"/>
      <c r="G2328" s="1"/>
      <c r="H2328" s="1"/>
    </row>
    <row r="2329" spans="2:13" x14ac:dyDescent="0.25">
      <c r="B2329" s="217" t="s">
        <v>408</v>
      </c>
      <c r="C2329" s="218"/>
      <c r="D2329" s="218"/>
      <c r="E2329" s="218"/>
      <c r="F2329" s="218"/>
      <c r="G2329" s="218"/>
      <c r="H2329" s="218"/>
      <c r="I2329" s="218"/>
      <c r="J2329" s="218"/>
      <c r="K2329" s="218"/>
      <c r="L2329" s="218"/>
      <c r="M2329" s="219"/>
    </row>
    <row r="2330" spans="2:13" x14ac:dyDescent="0.25">
      <c r="B2330" s="3" t="s">
        <v>3424</v>
      </c>
      <c r="C2330" s="232" t="s">
        <v>3425</v>
      </c>
      <c r="D2330" s="232"/>
      <c r="E2330" s="268" t="s">
        <v>579</v>
      </c>
      <c r="F2330" s="268"/>
      <c r="G2330" s="233" t="s">
        <v>2770</v>
      </c>
      <c r="H2330" s="233"/>
      <c r="I2330" s="232" t="s">
        <v>3426</v>
      </c>
      <c r="J2330" s="232"/>
      <c r="K2330" s="232" t="s">
        <v>3427</v>
      </c>
      <c r="L2330" s="232"/>
      <c r="M2330" s="269"/>
    </row>
    <row r="2331" spans="2:13" ht="15.75" thickBot="1" x14ac:dyDescent="0.3">
      <c r="B2331" s="5" t="s">
        <v>946</v>
      </c>
      <c r="C2331" s="240" t="s">
        <v>3428</v>
      </c>
      <c r="D2331" s="240"/>
      <c r="E2331" s="240" t="s">
        <v>3429</v>
      </c>
      <c r="F2331" s="240"/>
      <c r="G2331" s="240" t="s">
        <v>3430</v>
      </c>
      <c r="H2331" s="240"/>
      <c r="I2331" s="266" t="s">
        <v>3431</v>
      </c>
      <c r="J2331" s="266"/>
      <c r="K2331" s="240" t="s">
        <v>3432</v>
      </c>
      <c r="L2331" s="240"/>
      <c r="M2331" s="267"/>
    </row>
    <row r="2333" spans="2:13" ht="23.25" x14ac:dyDescent="0.35">
      <c r="B2333" s="29" t="s">
        <v>334</v>
      </c>
      <c r="C2333" s="229" t="s">
        <v>216</v>
      </c>
      <c r="D2333" s="229"/>
      <c r="E2333" s="229"/>
      <c r="F2333" s="229"/>
      <c r="G2333" s="229"/>
      <c r="H2333" s="229"/>
      <c r="I2333" s="229"/>
      <c r="J2333" s="229"/>
    </row>
    <row r="2334" spans="2:13" ht="18.75" x14ac:dyDescent="0.3">
      <c r="B2334" s="12" t="s">
        <v>335</v>
      </c>
      <c r="C2334" s="195" t="s">
        <v>336</v>
      </c>
      <c r="D2334" s="228" t="s">
        <v>427</v>
      </c>
      <c r="E2334" s="228"/>
      <c r="F2334" s="1" t="s">
        <v>3433</v>
      </c>
      <c r="L2334" s="12" t="s">
        <v>339</v>
      </c>
      <c r="M2334" s="6" t="s">
        <v>215</v>
      </c>
    </row>
    <row r="2336" spans="2:13" x14ac:dyDescent="0.25">
      <c r="B2336" s="2" t="s">
        <v>341</v>
      </c>
      <c r="C2336" s="250" t="s">
        <v>429</v>
      </c>
      <c r="D2336" s="250"/>
      <c r="E2336" s="250" t="s">
        <v>430</v>
      </c>
      <c r="F2336" s="250"/>
      <c r="G2336" s="228" t="s">
        <v>345</v>
      </c>
      <c r="H2336" s="228"/>
      <c r="I2336" s="228"/>
      <c r="J2336" s="228"/>
      <c r="K2336" s="228"/>
      <c r="L2336" s="228"/>
      <c r="M2336" s="228"/>
    </row>
    <row r="2337" spans="2:11" x14ac:dyDescent="0.25">
      <c r="C2337" s="251"/>
      <c r="D2337" s="251"/>
      <c r="E2337" s="251"/>
      <c r="F2337" s="251"/>
      <c r="G2337" s="7"/>
      <c r="H2337" s="7"/>
      <c r="I2337" s="7"/>
      <c r="J2337" s="7"/>
      <c r="K2337" s="7"/>
    </row>
    <row r="2338" spans="2:11" x14ac:dyDescent="0.25">
      <c r="B2338" s="11" t="s">
        <v>3434</v>
      </c>
      <c r="C2338" s="252" t="s">
        <v>465</v>
      </c>
      <c r="D2338" s="252"/>
      <c r="E2338" s="252" t="s">
        <v>466</v>
      </c>
      <c r="F2338" s="252"/>
      <c r="G2338" s="14" t="s">
        <v>3435</v>
      </c>
      <c r="H2338" s="7"/>
      <c r="I2338" s="7"/>
      <c r="J2338" s="7"/>
      <c r="K2338" s="7"/>
    </row>
    <row r="2339" spans="2:11" x14ac:dyDescent="0.25">
      <c r="B2339" s="11"/>
      <c r="C2339" s="188"/>
      <c r="D2339" s="188"/>
      <c r="E2339" s="252"/>
      <c r="F2339" s="252"/>
      <c r="G2339" s="14" t="s">
        <v>3436</v>
      </c>
      <c r="H2339" s="7"/>
      <c r="I2339" s="7"/>
      <c r="J2339" s="7"/>
      <c r="K2339" s="7"/>
    </row>
    <row r="2340" spans="2:11" x14ac:dyDescent="0.25">
      <c r="B2340" s="1" t="s">
        <v>3437</v>
      </c>
      <c r="C2340" s="253" t="s">
        <v>2618</v>
      </c>
      <c r="D2340" s="253"/>
      <c r="E2340" s="253" t="s">
        <v>3438</v>
      </c>
      <c r="F2340" s="253"/>
      <c r="G2340" s="14" t="s">
        <v>3439</v>
      </c>
      <c r="H2340" s="7"/>
      <c r="I2340" s="7"/>
      <c r="J2340" s="7"/>
      <c r="K2340" s="7"/>
    </row>
    <row r="2341" spans="2:11" x14ac:dyDescent="0.25">
      <c r="B2341" s="1"/>
      <c r="C2341" s="253"/>
      <c r="D2341" s="253"/>
      <c r="E2341" s="253"/>
      <c r="F2341" s="253"/>
      <c r="G2341" s="14" t="s">
        <v>3440</v>
      </c>
      <c r="H2341" s="7"/>
      <c r="I2341" s="7"/>
      <c r="J2341" s="7"/>
      <c r="K2341" s="7"/>
    </row>
    <row r="2342" spans="2:11" x14ac:dyDescent="0.25">
      <c r="B2342" s="11" t="s">
        <v>3441</v>
      </c>
      <c r="C2342" s="252" t="s">
        <v>2105</v>
      </c>
      <c r="D2342" s="252"/>
      <c r="E2342" s="252" t="s">
        <v>1797</v>
      </c>
      <c r="F2342" s="252"/>
      <c r="G2342" s="14" t="s">
        <v>3442</v>
      </c>
      <c r="H2342" s="7"/>
      <c r="I2342" s="7"/>
      <c r="J2342" s="7"/>
      <c r="K2342" s="7"/>
    </row>
    <row r="2343" spans="2:11" x14ac:dyDescent="0.25">
      <c r="B2343" s="11"/>
      <c r="C2343" s="188"/>
      <c r="D2343" s="188"/>
      <c r="E2343" s="252"/>
      <c r="F2343" s="252"/>
      <c r="G2343" s="14" t="s">
        <v>3443</v>
      </c>
      <c r="H2343" s="7"/>
      <c r="I2343" s="7"/>
      <c r="J2343" s="7"/>
      <c r="K2343" s="7"/>
    </row>
    <row r="2344" spans="2:11" x14ac:dyDescent="0.25">
      <c r="B2344" s="1" t="s">
        <v>3444</v>
      </c>
      <c r="C2344" s="253" t="s">
        <v>3445</v>
      </c>
      <c r="D2344" s="253"/>
      <c r="E2344" s="253" t="s">
        <v>2068</v>
      </c>
      <c r="F2344" s="253"/>
      <c r="G2344" s="14" t="s">
        <v>3446</v>
      </c>
      <c r="H2344" s="7"/>
      <c r="I2344" s="7"/>
      <c r="J2344" s="7"/>
      <c r="K2344" s="7"/>
    </row>
    <row r="2345" spans="2:11" x14ac:dyDescent="0.25">
      <c r="B2345" s="1"/>
      <c r="C2345" s="189"/>
      <c r="D2345" s="189"/>
      <c r="E2345" s="253"/>
      <c r="F2345" s="253"/>
      <c r="G2345" s="14" t="s">
        <v>3447</v>
      </c>
      <c r="H2345" s="7"/>
      <c r="I2345" s="7"/>
      <c r="J2345" s="7"/>
      <c r="K2345" s="7"/>
    </row>
    <row r="2346" spans="2:11" x14ac:dyDescent="0.25">
      <c r="B2346" s="11" t="s">
        <v>1905</v>
      </c>
      <c r="C2346" s="252" t="s">
        <v>3448</v>
      </c>
      <c r="D2346" s="252"/>
      <c r="E2346" s="252" t="s">
        <v>3449</v>
      </c>
      <c r="F2346" s="252"/>
      <c r="G2346" s="14" t="s">
        <v>3450</v>
      </c>
      <c r="I2346" s="7"/>
      <c r="J2346" s="7"/>
      <c r="K2346" s="7"/>
    </row>
    <row r="2347" spans="2:11" x14ac:dyDescent="0.25">
      <c r="B2347" s="11"/>
      <c r="C2347" s="188"/>
      <c r="D2347" s="188"/>
      <c r="E2347" s="252"/>
      <c r="F2347" s="252"/>
      <c r="H2347" s="7"/>
      <c r="I2347" s="7"/>
      <c r="J2347" s="7"/>
      <c r="K2347" s="7"/>
    </row>
    <row r="2348" spans="2:11" x14ac:dyDescent="0.25">
      <c r="B2348" s="1" t="s">
        <v>3451</v>
      </c>
      <c r="C2348" s="253" t="s">
        <v>3137</v>
      </c>
      <c r="D2348" s="253"/>
      <c r="E2348" s="253" t="s">
        <v>3152</v>
      </c>
      <c r="F2348" s="253"/>
      <c r="G2348" s="14"/>
      <c r="H2348" s="14"/>
      <c r="I2348" s="7"/>
      <c r="J2348" s="7"/>
      <c r="K2348" s="7"/>
    </row>
    <row r="2349" spans="2:11" x14ac:dyDescent="0.25">
      <c r="B2349" s="1"/>
      <c r="C2349" s="189"/>
      <c r="D2349" s="189"/>
      <c r="E2349" s="253"/>
      <c r="F2349" s="253"/>
      <c r="G2349" s="14"/>
      <c r="H2349" s="14"/>
      <c r="I2349" s="7"/>
      <c r="J2349" s="7"/>
      <c r="K2349" s="7"/>
    </row>
    <row r="2350" spans="2:11" x14ac:dyDescent="0.25">
      <c r="B2350" s="11" t="s">
        <v>3452</v>
      </c>
      <c r="C2350" s="265" t="s">
        <v>3453</v>
      </c>
      <c r="D2350" s="265"/>
      <c r="E2350" s="252" t="s">
        <v>3454</v>
      </c>
      <c r="F2350" s="252"/>
      <c r="G2350" s="14"/>
      <c r="I2350" s="7"/>
      <c r="J2350" s="7"/>
      <c r="K2350" s="7"/>
    </row>
    <row r="2351" spans="2:11" x14ac:dyDescent="0.25">
      <c r="B2351" s="11" t="s">
        <v>3455</v>
      </c>
      <c r="C2351" s="188"/>
      <c r="D2351" s="188"/>
      <c r="E2351" s="252"/>
      <c r="F2351" s="252"/>
      <c r="G2351" s="14"/>
    </row>
    <row r="2352" spans="2:11" x14ac:dyDescent="0.25">
      <c r="B2352" s="1" t="s">
        <v>3456</v>
      </c>
      <c r="C2352" s="253" t="s">
        <v>3457</v>
      </c>
      <c r="D2352" s="253"/>
      <c r="E2352" s="253" t="s">
        <v>463</v>
      </c>
      <c r="F2352" s="253"/>
      <c r="G2352" s="14"/>
    </row>
    <row r="2353" spans="2:15" ht="15.75" thickBot="1" x14ac:dyDescent="0.3">
      <c r="B2353" s="1" t="s">
        <v>3458</v>
      </c>
      <c r="C2353" s="189"/>
      <c r="D2353" s="189"/>
      <c r="E2353" s="253"/>
      <c r="F2353" s="253"/>
      <c r="G2353" s="14"/>
    </row>
    <row r="2354" spans="2:15" x14ac:dyDescent="0.25">
      <c r="B2354" s="217" t="s">
        <v>401</v>
      </c>
      <c r="C2354" s="218"/>
      <c r="D2354" s="218"/>
      <c r="E2354" s="218"/>
      <c r="F2354" s="218"/>
      <c r="G2354" s="218"/>
      <c r="H2354" s="218"/>
      <c r="I2354" s="218"/>
      <c r="J2354" s="218"/>
      <c r="K2354" s="218"/>
      <c r="L2354" s="218"/>
      <c r="M2354" s="219"/>
    </row>
    <row r="2355" spans="2:15" x14ac:dyDescent="0.25">
      <c r="B2355" s="3" t="s">
        <v>402</v>
      </c>
      <c r="C2355" s="232" t="s">
        <v>403</v>
      </c>
      <c r="D2355" s="232"/>
      <c r="E2355" s="232" t="s">
        <v>467</v>
      </c>
      <c r="F2355" s="232"/>
      <c r="G2355" s="232" t="s">
        <v>405</v>
      </c>
      <c r="H2355" s="232"/>
      <c r="I2355" s="232" t="s">
        <v>406</v>
      </c>
      <c r="J2355" s="232"/>
      <c r="K2355" s="234" t="s">
        <v>468</v>
      </c>
      <c r="L2355" s="235"/>
      <c r="M2355" s="236"/>
    </row>
    <row r="2356" spans="2:15" ht="15.75" thickBot="1" x14ac:dyDescent="0.3">
      <c r="B2356" s="5">
        <v>2.1560000000000001</v>
      </c>
      <c r="C2356" s="237">
        <v>3.5</v>
      </c>
      <c r="D2356" s="238"/>
      <c r="E2356" s="239">
        <v>0.96</v>
      </c>
      <c r="F2356" s="238"/>
      <c r="G2356" s="240"/>
      <c r="H2356" s="240"/>
      <c r="I2356" s="241"/>
      <c r="J2356" s="241"/>
      <c r="K2356" s="242"/>
      <c r="L2356" s="243"/>
      <c r="M2356" s="244"/>
    </row>
    <row r="2357" spans="2:15" ht="15.75" thickBot="1" x14ac:dyDescent="0.3">
      <c r="B2357" s="1"/>
      <c r="C2357" s="1"/>
      <c r="D2357" s="1"/>
      <c r="E2357" s="1"/>
      <c r="F2357" s="1"/>
      <c r="G2357" s="1"/>
      <c r="H2357" s="1"/>
    </row>
    <row r="2358" spans="2:15" x14ac:dyDescent="0.25">
      <c r="B2358" s="217" t="s">
        <v>408</v>
      </c>
      <c r="C2358" s="218"/>
      <c r="D2358" s="218"/>
      <c r="E2358" s="218"/>
      <c r="F2358" s="218"/>
      <c r="G2358" s="218"/>
      <c r="H2358" s="218"/>
      <c r="I2358" s="218"/>
      <c r="J2358" s="218"/>
      <c r="K2358" s="218"/>
      <c r="L2358" s="218"/>
      <c r="M2358" s="219"/>
    </row>
    <row r="2359" spans="2:15" x14ac:dyDescent="0.25">
      <c r="B2359" s="3" t="s">
        <v>3459</v>
      </c>
      <c r="C2359" s="232" t="s">
        <v>3460</v>
      </c>
      <c r="D2359" s="232"/>
      <c r="E2359" s="268" t="s">
        <v>3162</v>
      </c>
      <c r="F2359" s="268"/>
      <c r="G2359" s="233" t="s">
        <v>912</v>
      </c>
      <c r="H2359" s="233"/>
      <c r="I2359" s="232" t="s">
        <v>3461</v>
      </c>
      <c r="J2359" s="232"/>
      <c r="K2359" s="232" t="s">
        <v>3462</v>
      </c>
      <c r="L2359" s="232"/>
      <c r="M2359" s="269"/>
    </row>
    <row r="2360" spans="2:15" ht="15.75" thickBot="1" x14ac:dyDescent="0.3">
      <c r="B2360" s="5" t="s">
        <v>2045</v>
      </c>
      <c r="C2360" s="240" t="s">
        <v>3463</v>
      </c>
      <c r="D2360" s="240"/>
      <c r="E2360" s="240" t="s">
        <v>3464</v>
      </c>
      <c r="F2360" s="240"/>
      <c r="G2360" s="240" t="s">
        <v>1062</v>
      </c>
      <c r="H2360" s="240"/>
      <c r="I2360" s="266" t="s">
        <v>3465</v>
      </c>
      <c r="J2360" s="266"/>
      <c r="K2360" s="240" t="s">
        <v>3466</v>
      </c>
      <c r="L2360" s="240"/>
      <c r="M2360" s="267"/>
    </row>
    <row r="2362" spans="2:15" ht="23.25" x14ac:dyDescent="0.35">
      <c r="B2362" s="29" t="s">
        <v>334</v>
      </c>
      <c r="C2362" s="229" t="s">
        <v>218</v>
      </c>
      <c r="D2362" s="229"/>
      <c r="E2362" s="229"/>
      <c r="F2362" s="229"/>
      <c r="G2362" s="229"/>
      <c r="H2362" s="229"/>
      <c r="I2362" s="229"/>
      <c r="J2362" s="229"/>
    </row>
    <row r="2363" spans="2:15" ht="18.75" x14ac:dyDescent="0.3">
      <c r="B2363" s="12" t="s">
        <v>335</v>
      </c>
      <c r="C2363" s="195" t="s">
        <v>336</v>
      </c>
      <c r="D2363" s="228" t="s">
        <v>427</v>
      </c>
      <c r="E2363" s="228"/>
      <c r="F2363" s="1" t="s">
        <v>2096</v>
      </c>
      <c r="L2363" s="12" t="s">
        <v>339</v>
      </c>
      <c r="M2363" s="6" t="s">
        <v>217</v>
      </c>
      <c r="O2363" s="101" t="s">
        <v>481</v>
      </c>
    </row>
    <row r="2365" spans="2:15" x14ac:dyDescent="0.25">
      <c r="B2365" s="2" t="s">
        <v>341</v>
      </c>
      <c r="C2365" s="250" t="s">
        <v>954</v>
      </c>
      <c r="D2365" s="250"/>
      <c r="E2365" s="250" t="s">
        <v>344</v>
      </c>
      <c r="F2365" s="250"/>
      <c r="G2365" s="250" t="s">
        <v>1616</v>
      </c>
      <c r="H2365" s="250"/>
      <c r="I2365" s="228" t="s">
        <v>345</v>
      </c>
      <c r="J2365" s="228"/>
      <c r="K2365" s="228"/>
      <c r="L2365" s="228"/>
      <c r="M2365" s="228"/>
      <c r="O2365" s="101" t="s">
        <v>732</v>
      </c>
    </row>
    <row r="2366" spans="2:15" x14ac:dyDescent="0.25">
      <c r="C2366" s="251"/>
      <c r="D2366" s="251"/>
      <c r="E2366" s="251"/>
      <c r="F2366" s="251"/>
      <c r="G2366" s="251"/>
      <c r="H2366" s="251"/>
      <c r="I2366" s="7"/>
      <c r="J2366" s="7"/>
      <c r="K2366" s="7"/>
      <c r="L2366" s="7"/>
      <c r="M2366" s="7"/>
    </row>
    <row r="2367" spans="2:15" x14ac:dyDescent="0.25">
      <c r="B2367" s="11" t="s">
        <v>2217</v>
      </c>
      <c r="C2367" s="252" t="s">
        <v>1674</v>
      </c>
      <c r="D2367" s="252"/>
      <c r="E2367" s="252" t="s">
        <v>398</v>
      </c>
      <c r="F2367" s="252"/>
      <c r="G2367" s="252" t="s">
        <v>355</v>
      </c>
      <c r="H2367" s="252"/>
      <c r="I2367" s="14" t="s">
        <v>3467</v>
      </c>
      <c r="J2367" s="7"/>
      <c r="K2367" s="7"/>
      <c r="L2367" s="7"/>
      <c r="M2367" s="7"/>
      <c r="O2367" s="136" t="e">
        <f>SUM(2.3*#REF!)/250</f>
        <v>#REF!</v>
      </c>
    </row>
    <row r="2368" spans="2:15" x14ac:dyDescent="0.25">
      <c r="B2368" s="11"/>
      <c r="C2368" s="188"/>
      <c r="D2368" s="188"/>
      <c r="E2368" s="252"/>
      <c r="F2368" s="252"/>
      <c r="G2368" s="252"/>
      <c r="H2368" s="252"/>
      <c r="I2368" s="14" t="s">
        <v>3468</v>
      </c>
      <c r="J2368" s="7"/>
      <c r="K2368" s="7"/>
      <c r="L2368" s="7"/>
      <c r="M2368" s="7"/>
    </row>
    <row r="2369" spans="2:15" x14ac:dyDescent="0.25">
      <c r="B2369" s="1" t="s">
        <v>3469</v>
      </c>
      <c r="C2369" s="253" t="s">
        <v>1674</v>
      </c>
      <c r="D2369" s="253"/>
      <c r="E2369" s="253" t="s">
        <v>398</v>
      </c>
      <c r="F2369" s="253"/>
      <c r="G2369" s="253" t="s">
        <v>355</v>
      </c>
      <c r="H2369" s="253"/>
      <c r="I2369" s="14" t="s">
        <v>3470</v>
      </c>
      <c r="J2369" s="7"/>
      <c r="K2369" s="7"/>
      <c r="L2369" s="7"/>
      <c r="M2369" s="7"/>
      <c r="O2369" s="98" t="e">
        <f>SUM(2.3*#REF!)/250</f>
        <v>#REF!</v>
      </c>
    </row>
    <row r="2370" spans="2:15" x14ac:dyDescent="0.25">
      <c r="B2370" s="1"/>
      <c r="C2370" s="253"/>
      <c r="D2370" s="253"/>
      <c r="E2370" s="253"/>
      <c r="F2370" s="253"/>
      <c r="G2370" s="253"/>
      <c r="H2370" s="253"/>
      <c r="I2370" s="14" t="s">
        <v>3471</v>
      </c>
      <c r="J2370" s="7"/>
      <c r="K2370" s="7"/>
      <c r="L2370" s="7"/>
      <c r="M2370" s="7"/>
    </row>
    <row r="2371" spans="2:15" x14ac:dyDescent="0.25">
      <c r="B2371" s="11" t="s">
        <v>3472</v>
      </c>
      <c r="C2371" s="252" t="s">
        <v>3473</v>
      </c>
      <c r="D2371" s="252"/>
      <c r="E2371" s="252" t="s">
        <v>3474</v>
      </c>
      <c r="F2371" s="252"/>
      <c r="G2371" s="252" t="s">
        <v>527</v>
      </c>
      <c r="H2371" s="252"/>
      <c r="I2371" s="14" t="s">
        <v>3475</v>
      </c>
      <c r="J2371" s="7"/>
      <c r="K2371" s="7"/>
      <c r="L2371" s="7"/>
      <c r="M2371" s="7"/>
      <c r="O2371" s="103" t="e">
        <f>SUM(#REF!)/250</f>
        <v>#REF!</v>
      </c>
    </row>
    <row r="2372" spans="2:15" x14ac:dyDescent="0.25">
      <c r="B2372" s="11"/>
      <c r="C2372" s="188"/>
      <c r="D2372" s="188"/>
      <c r="E2372" s="252"/>
      <c r="F2372" s="252"/>
      <c r="G2372" s="252"/>
      <c r="H2372" s="252"/>
      <c r="I2372" s="14" t="s">
        <v>3476</v>
      </c>
      <c r="J2372" s="7"/>
      <c r="K2372" s="7"/>
      <c r="L2372" s="7"/>
      <c r="M2372" s="7"/>
    </row>
    <row r="2373" spans="2:15" x14ac:dyDescent="0.25">
      <c r="B2373" s="1" t="s">
        <v>3477</v>
      </c>
      <c r="C2373" s="253" t="s">
        <v>1674</v>
      </c>
      <c r="D2373" s="253"/>
      <c r="E2373" s="253" t="s">
        <v>398</v>
      </c>
      <c r="F2373" s="253"/>
      <c r="G2373" s="253" t="s">
        <v>355</v>
      </c>
      <c r="H2373" s="253"/>
      <c r="I2373" t="s">
        <v>3478</v>
      </c>
      <c r="J2373" s="7"/>
      <c r="K2373" s="7"/>
      <c r="L2373" s="7"/>
      <c r="M2373" s="7"/>
      <c r="O2373" s="102" t="e">
        <f>SUM(2.3*#REF!)/250</f>
        <v>#REF!</v>
      </c>
    </row>
    <row r="2374" spans="2:15" x14ac:dyDescent="0.25">
      <c r="B2374" s="1"/>
      <c r="C2374" s="189"/>
      <c r="D2374" s="189"/>
      <c r="E2374" s="253"/>
      <c r="F2374" s="253"/>
      <c r="G2374" s="253"/>
      <c r="H2374" s="253"/>
      <c r="I2374" s="14" t="s">
        <v>3479</v>
      </c>
      <c r="J2374" s="7"/>
      <c r="K2374" s="7"/>
      <c r="L2374" s="7"/>
      <c r="M2374" s="7"/>
    </row>
    <row r="2375" spans="2:15" x14ac:dyDescent="0.25">
      <c r="B2375" s="11" t="s">
        <v>1512</v>
      </c>
      <c r="C2375" s="252" t="s">
        <v>392</v>
      </c>
      <c r="D2375" s="252"/>
      <c r="E2375" s="252" t="s">
        <v>374</v>
      </c>
      <c r="F2375" s="252"/>
      <c r="G2375" s="252" t="s">
        <v>2587</v>
      </c>
      <c r="H2375" s="252"/>
      <c r="I2375" s="64"/>
      <c r="K2375" s="7"/>
      <c r="L2375" s="7"/>
      <c r="M2375" s="7"/>
      <c r="O2375" s="102" t="e">
        <f>SUM(1*#REF!)/250</f>
        <v>#REF!</v>
      </c>
    </row>
    <row r="2376" spans="2:15" x14ac:dyDescent="0.25">
      <c r="B2376" s="11"/>
      <c r="C2376" s="188"/>
      <c r="D2376" s="188"/>
      <c r="E2376" s="252"/>
      <c r="F2376" s="252"/>
      <c r="G2376" s="252"/>
      <c r="H2376" s="252"/>
      <c r="I2376" s="14"/>
      <c r="J2376" s="7"/>
      <c r="K2376" s="7"/>
      <c r="L2376" s="7"/>
      <c r="M2376" s="7"/>
    </row>
    <row r="2377" spans="2:15" x14ac:dyDescent="0.25">
      <c r="B2377" s="1" t="s">
        <v>518</v>
      </c>
      <c r="C2377" s="253" t="s">
        <v>391</v>
      </c>
      <c r="D2377" s="253"/>
      <c r="E2377" s="253" t="s">
        <v>392</v>
      </c>
      <c r="F2377" s="253"/>
      <c r="G2377" s="253" t="s">
        <v>786</v>
      </c>
      <c r="H2377" s="253"/>
      <c r="I2377" s="14"/>
      <c r="J2377" s="14"/>
      <c r="K2377" s="7"/>
      <c r="L2377" s="7"/>
      <c r="M2377" s="7"/>
      <c r="O2377" s="102" t="e">
        <f>SUM(0.75*#REF!)/250</f>
        <v>#REF!</v>
      </c>
    </row>
    <row r="2378" spans="2:15" x14ac:dyDescent="0.25">
      <c r="B2378" s="1"/>
      <c r="C2378" s="189"/>
      <c r="D2378" s="189"/>
      <c r="E2378" s="253"/>
      <c r="F2378" s="253"/>
      <c r="G2378" s="253"/>
      <c r="H2378" s="253"/>
      <c r="I2378" s="14"/>
      <c r="J2378" s="14"/>
      <c r="K2378" s="7"/>
      <c r="L2378" s="7"/>
      <c r="M2378" s="7"/>
    </row>
    <row r="2379" spans="2:15" x14ac:dyDescent="0.25">
      <c r="B2379" s="11" t="s">
        <v>3480</v>
      </c>
      <c r="C2379" s="265" t="s">
        <v>3481</v>
      </c>
      <c r="D2379" s="265"/>
      <c r="E2379" s="252" t="s">
        <v>390</v>
      </c>
      <c r="F2379" s="252"/>
      <c r="G2379" s="252" t="s">
        <v>524</v>
      </c>
      <c r="H2379" s="252"/>
      <c r="I2379" s="14"/>
      <c r="K2379" s="7"/>
      <c r="L2379" s="7"/>
      <c r="M2379" s="7"/>
      <c r="O2379" s="98" t="e">
        <f>SUM(7.05*#REF!)/250</f>
        <v>#REF!</v>
      </c>
    </row>
    <row r="2380" spans="2:15" x14ac:dyDescent="0.25">
      <c r="B2380" s="11"/>
      <c r="C2380" s="188"/>
      <c r="D2380" s="188"/>
      <c r="E2380" s="252"/>
      <c r="F2380" s="252"/>
      <c r="G2380" s="252"/>
      <c r="H2380" s="252"/>
      <c r="I2380" s="14"/>
    </row>
    <row r="2381" spans="2:15" x14ac:dyDescent="0.25">
      <c r="B2381" s="1" t="s">
        <v>1396</v>
      </c>
      <c r="C2381" s="253" t="s">
        <v>390</v>
      </c>
      <c r="D2381" s="253"/>
      <c r="E2381" s="253" t="s">
        <v>391</v>
      </c>
      <c r="F2381" s="253"/>
      <c r="G2381" s="253" t="s">
        <v>3482</v>
      </c>
      <c r="H2381" s="253"/>
      <c r="I2381" s="14"/>
      <c r="O2381" s="98" t="e">
        <f>SUM(0.5*#REF!)/250</f>
        <v>#REF!</v>
      </c>
    </row>
    <row r="2382" spans="2:15" x14ac:dyDescent="0.25">
      <c r="B2382" s="1"/>
      <c r="C2382" s="189"/>
      <c r="D2382" s="189"/>
      <c r="E2382" s="253"/>
      <c r="F2382" s="253"/>
      <c r="G2382" s="253"/>
      <c r="H2382" s="253"/>
      <c r="I2382" s="14"/>
    </row>
    <row r="2383" spans="2:15" x14ac:dyDescent="0.25">
      <c r="B2383" s="11" t="s">
        <v>879</v>
      </c>
      <c r="C2383" s="252" t="s">
        <v>1630</v>
      </c>
      <c r="D2383" s="252"/>
      <c r="E2383" s="252" t="s">
        <v>1052</v>
      </c>
      <c r="F2383" s="252"/>
      <c r="G2383" s="252" t="s">
        <v>508</v>
      </c>
      <c r="H2383" s="252"/>
      <c r="I2383" s="14"/>
      <c r="O2383" s="102" t="e">
        <f>SUM(2.75*#REF!)/250</f>
        <v>#REF!</v>
      </c>
    </row>
    <row r="2384" spans="2:15" x14ac:dyDescent="0.25">
      <c r="B2384" s="11"/>
      <c r="C2384" s="188"/>
      <c r="D2384" s="188"/>
      <c r="E2384" s="252"/>
      <c r="F2384" s="252"/>
      <c r="G2384" s="252"/>
      <c r="H2384" s="252"/>
      <c r="I2384" s="14"/>
    </row>
    <row r="2385" spans="2:15" x14ac:dyDescent="0.25">
      <c r="B2385" s="1" t="s">
        <v>3483</v>
      </c>
      <c r="C2385" s="253" t="s">
        <v>3484</v>
      </c>
      <c r="D2385" s="253"/>
      <c r="E2385" s="253" t="s">
        <v>2876</v>
      </c>
      <c r="F2385" s="253"/>
      <c r="G2385" s="253" t="s">
        <v>446</v>
      </c>
      <c r="H2385" s="253"/>
      <c r="I2385" s="14"/>
      <c r="O2385" s="98" t="e">
        <f>SUM((13.5*(#REF!+#REF!)/2))/250</f>
        <v>#REF!</v>
      </c>
    </row>
    <row r="2386" spans="2:15" x14ac:dyDescent="0.25">
      <c r="B2386" s="1" t="s">
        <v>3485</v>
      </c>
      <c r="C2386" s="189"/>
      <c r="D2386" s="189"/>
      <c r="E2386" s="253"/>
      <c r="F2386" s="253"/>
      <c r="G2386" s="253"/>
      <c r="H2386" s="253"/>
      <c r="I2386" s="14"/>
    </row>
    <row r="2387" spans="2:15" x14ac:dyDescent="0.25">
      <c r="B2387" s="11" t="s">
        <v>3486</v>
      </c>
      <c r="C2387" s="252" t="s">
        <v>1786</v>
      </c>
      <c r="D2387" s="252"/>
      <c r="E2387" s="252" t="s">
        <v>2002</v>
      </c>
      <c r="F2387" s="252"/>
      <c r="G2387" s="252" t="s">
        <v>2007</v>
      </c>
      <c r="H2387" s="252"/>
      <c r="I2387" s="14"/>
      <c r="O2387" s="98" t="e">
        <f>SUM(11.75*#REF!)/250</f>
        <v>#REF!</v>
      </c>
    </row>
    <row r="2388" spans="2:15" x14ac:dyDescent="0.25">
      <c r="B2388" s="11"/>
      <c r="C2388" s="13"/>
      <c r="D2388" s="188"/>
      <c r="E2388" s="188"/>
      <c r="F2388" s="188"/>
      <c r="G2388" s="188"/>
      <c r="H2388" s="188"/>
      <c r="I2388" s="14"/>
    </row>
    <row r="2389" spans="2:15" x14ac:dyDescent="0.25">
      <c r="B2389" s="1" t="s">
        <v>3487</v>
      </c>
      <c r="C2389" s="253" t="s">
        <v>3488</v>
      </c>
      <c r="D2389" s="253"/>
      <c r="E2389" s="253" t="s">
        <v>2652</v>
      </c>
      <c r="F2389" s="253"/>
      <c r="G2389" s="253" t="s">
        <v>3489</v>
      </c>
      <c r="H2389" s="253"/>
      <c r="I2389" s="14"/>
      <c r="O2389" s="98" t="e">
        <f>SUM(5.75*#REF!)/250</f>
        <v>#REF!</v>
      </c>
    </row>
    <row r="2390" spans="2:15" x14ac:dyDescent="0.25">
      <c r="B2390" s="1"/>
      <c r="C2390" s="189"/>
      <c r="D2390" s="189"/>
      <c r="E2390" s="189"/>
      <c r="F2390" s="189"/>
      <c r="G2390" s="189"/>
      <c r="H2390" s="189"/>
      <c r="I2390" s="14"/>
    </row>
    <row r="2391" spans="2:15" x14ac:dyDescent="0.25">
      <c r="B2391" s="11" t="s">
        <v>3490</v>
      </c>
      <c r="C2391" s="252" t="s">
        <v>495</v>
      </c>
      <c r="D2391" s="252"/>
      <c r="E2391" s="252" t="s">
        <v>3491</v>
      </c>
      <c r="F2391" s="252"/>
      <c r="G2391" s="252" t="s">
        <v>3492</v>
      </c>
      <c r="H2391" s="252"/>
      <c r="I2391" s="14"/>
      <c r="O2391" s="98" t="e">
        <f>SUM(0.5*#REF!)/250</f>
        <v>#REF!</v>
      </c>
    </row>
    <row r="2392" spans="2:15" x14ac:dyDescent="0.25">
      <c r="B2392" s="11"/>
      <c r="C2392" s="188"/>
      <c r="D2392" s="188"/>
      <c r="E2392" s="188"/>
      <c r="F2392" s="188"/>
      <c r="G2392" s="188"/>
      <c r="H2392" s="188"/>
      <c r="I2392" s="14"/>
    </row>
    <row r="2393" spans="2:15" x14ac:dyDescent="0.25">
      <c r="B2393" s="32" t="s">
        <v>1458</v>
      </c>
      <c r="C2393" s="253" t="s">
        <v>390</v>
      </c>
      <c r="D2393" s="253"/>
      <c r="E2393" s="253" t="s">
        <v>391</v>
      </c>
      <c r="F2393" s="253"/>
      <c r="G2393" s="253" t="s">
        <v>3482</v>
      </c>
      <c r="H2393" s="253"/>
      <c r="I2393" s="14"/>
      <c r="O2393" s="102" t="e">
        <f>SUM(0.5*#REF!)/250</f>
        <v>#REF!</v>
      </c>
    </row>
    <row r="2394" spans="2:15" x14ac:dyDescent="0.25">
      <c r="B2394" s="32"/>
      <c r="C2394" s="191"/>
      <c r="D2394" s="191"/>
      <c r="E2394" s="191"/>
      <c r="F2394" s="191"/>
      <c r="G2394" s="191"/>
      <c r="H2394" s="191"/>
      <c r="I2394" s="14"/>
    </row>
    <row r="2395" spans="2:15" x14ac:dyDescent="0.25">
      <c r="B2395" s="11" t="s">
        <v>397</v>
      </c>
      <c r="C2395" s="252" t="s">
        <v>2389</v>
      </c>
      <c r="D2395" s="252"/>
      <c r="E2395" s="252" t="s">
        <v>3493</v>
      </c>
      <c r="F2395" s="252"/>
      <c r="G2395" s="252" t="s">
        <v>2234</v>
      </c>
      <c r="H2395" s="252"/>
      <c r="I2395" s="14"/>
      <c r="O2395" s="98">
        <v>0</v>
      </c>
    </row>
    <row r="2396" spans="2:15" x14ac:dyDescent="0.25">
      <c r="B2396" s="11"/>
      <c r="C2396" s="188"/>
      <c r="D2396" s="188"/>
      <c r="E2396" s="188"/>
      <c r="F2396" s="188"/>
      <c r="G2396" s="188"/>
      <c r="H2396" s="188"/>
      <c r="I2396" s="14"/>
    </row>
    <row r="2397" spans="2:15" x14ac:dyDescent="0.25">
      <c r="B2397" s="32" t="s">
        <v>1315</v>
      </c>
      <c r="C2397" s="255" t="s">
        <v>3494</v>
      </c>
      <c r="D2397" s="255"/>
      <c r="E2397" s="255" t="s">
        <v>2057</v>
      </c>
      <c r="F2397" s="255"/>
      <c r="G2397" s="255" t="s">
        <v>3495</v>
      </c>
      <c r="H2397" s="255"/>
      <c r="I2397" s="14"/>
      <c r="O2397" s="137" t="e">
        <f>SUM(27.421875*#REF!)/250</f>
        <v>#REF!</v>
      </c>
    </row>
    <row r="2398" spans="2:15" x14ac:dyDescent="0.25">
      <c r="B2398" s="32"/>
      <c r="C2398" s="255"/>
      <c r="D2398" s="255"/>
      <c r="E2398" s="191"/>
      <c r="F2398" s="191"/>
      <c r="G2398" s="191"/>
      <c r="H2398" s="191"/>
      <c r="I2398" s="14"/>
    </row>
    <row r="2399" spans="2:15" x14ac:dyDescent="0.25">
      <c r="B2399" s="120" t="s">
        <v>397</v>
      </c>
      <c r="C2399" s="321" t="s">
        <v>862</v>
      </c>
      <c r="D2399" s="321"/>
      <c r="E2399" s="254" t="s">
        <v>2932</v>
      </c>
      <c r="F2399" s="254"/>
      <c r="G2399" s="254" t="s">
        <v>3496</v>
      </c>
      <c r="H2399" s="254"/>
      <c r="I2399" s="14"/>
      <c r="O2399" s="98">
        <v>0</v>
      </c>
    </row>
    <row r="2400" spans="2:15" x14ac:dyDescent="0.25">
      <c r="B2400" s="120"/>
      <c r="C2400" s="204"/>
      <c r="D2400" s="204"/>
      <c r="E2400" s="190"/>
      <c r="F2400" s="190"/>
      <c r="G2400" s="190"/>
      <c r="H2400" s="190"/>
      <c r="I2400" s="14"/>
    </row>
    <row r="2401" spans="2:15" x14ac:dyDescent="0.25">
      <c r="B2401" s="32" t="s">
        <v>518</v>
      </c>
      <c r="C2401" s="255" t="s">
        <v>1026</v>
      </c>
      <c r="D2401" s="255"/>
      <c r="E2401" s="255" t="s">
        <v>742</v>
      </c>
      <c r="F2401" s="255"/>
      <c r="G2401" s="255" t="s">
        <v>1100</v>
      </c>
      <c r="H2401" s="255"/>
      <c r="I2401" s="14"/>
      <c r="O2401" s="109" t="e">
        <f>SUM(5*#REF!)/250</f>
        <v>#REF!</v>
      </c>
    </row>
    <row r="2402" spans="2:15" x14ac:dyDescent="0.25">
      <c r="B2402" s="32"/>
      <c r="C2402" s="201"/>
      <c r="D2402" s="201"/>
      <c r="E2402" s="191"/>
      <c r="F2402" s="191"/>
      <c r="G2402" s="191"/>
      <c r="H2402" s="191"/>
      <c r="I2402" s="14"/>
    </row>
    <row r="2403" spans="2:15" x14ac:dyDescent="0.25">
      <c r="B2403" s="217" t="s">
        <v>401</v>
      </c>
      <c r="C2403" s="218"/>
      <c r="D2403" s="218"/>
      <c r="E2403" s="218"/>
      <c r="F2403" s="218"/>
      <c r="G2403" s="218"/>
      <c r="H2403" s="218"/>
      <c r="I2403" s="218"/>
      <c r="J2403" s="218"/>
      <c r="K2403" s="218"/>
      <c r="L2403" s="218"/>
      <c r="M2403" s="219"/>
      <c r="O2403" s="138" t="e">
        <f>SUM(O2367:O2401)</f>
        <v>#REF!</v>
      </c>
    </row>
    <row r="2404" spans="2:15" x14ac:dyDescent="0.25">
      <c r="B2404" s="3" t="s">
        <v>402</v>
      </c>
      <c r="C2404" s="232" t="s">
        <v>403</v>
      </c>
      <c r="D2404" s="232"/>
      <c r="E2404" s="233" t="s">
        <v>404</v>
      </c>
      <c r="F2404" s="233"/>
      <c r="G2404" s="233" t="s">
        <v>1241</v>
      </c>
      <c r="H2404" s="233"/>
      <c r="I2404" s="232" t="s">
        <v>406</v>
      </c>
      <c r="J2404" s="232"/>
      <c r="K2404" s="234" t="s">
        <v>407</v>
      </c>
      <c r="L2404" s="235"/>
      <c r="M2404" s="236"/>
    </row>
    <row r="2405" spans="2:15" ht="15.75" thickBot="1" x14ac:dyDescent="0.3">
      <c r="B2405" s="5">
        <v>2</v>
      </c>
      <c r="C2405" s="237">
        <v>3.1</v>
      </c>
      <c r="D2405" s="238"/>
      <c r="E2405" s="239">
        <v>9.6000000000000002E-2</v>
      </c>
      <c r="F2405" s="238"/>
      <c r="G2405" s="240">
        <v>5.8799999999999998E-3</v>
      </c>
      <c r="H2405" s="240"/>
      <c r="I2405" s="240">
        <v>0.11600000000000001</v>
      </c>
      <c r="J2405" s="240"/>
      <c r="K2405" s="242">
        <v>2.1999999999999999E-2</v>
      </c>
      <c r="L2405" s="243"/>
      <c r="M2405" s="244"/>
    </row>
    <row r="2406" spans="2:15" x14ac:dyDescent="0.25">
      <c r="B2406" s="1"/>
      <c r="C2406" s="1"/>
      <c r="D2406" s="1"/>
      <c r="E2406" s="1"/>
      <c r="F2406" s="1"/>
      <c r="G2406" s="1"/>
      <c r="H2406" s="1"/>
    </row>
    <row r="2407" spans="2:15" x14ac:dyDescent="0.25">
      <c r="B2407" s="217" t="s">
        <v>408</v>
      </c>
      <c r="C2407" s="218"/>
      <c r="D2407" s="218"/>
      <c r="E2407" s="218"/>
      <c r="F2407" s="218"/>
      <c r="G2407" s="218"/>
      <c r="H2407" s="218"/>
      <c r="I2407" s="218"/>
      <c r="J2407" s="218"/>
      <c r="K2407" s="218"/>
      <c r="L2407" s="218"/>
      <c r="M2407" s="219"/>
    </row>
    <row r="2408" spans="2:15" x14ac:dyDescent="0.25">
      <c r="B2408" s="122" t="s">
        <v>3497</v>
      </c>
      <c r="C2408" s="220" t="s">
        <v>3498</v>
      </c>
      <c r="D2408" s="220"/>
      <c r="E2408" s="221" t="s">
        <v>3499</v>
      </c>
      <c r="F2408" s="221"/>
      <c r="G2408" s="221" t="s">
        <v>692</v>
      </c>
      <c r="H2408" s="221"/>
      <c r="I2408" s="220" t="s">
        <v>3500</v>
      </c>
      <c r="J2408" s="220"/>
      <c r="K2408" s="220" t="s">
        <v>3501</v>
      </c>
      <c r="L2408" s="220"/>
      <c r="M2408" s="222"/>
    </row>
    <row r="2409" spans="2:15" x14ac:dyDescent="0.25">
      <c r="B2409" s="123" t="s">
        <v>3502</v>
      </c>
      <c r="C2409" s="225" t="s">
        <v>1062</v>
      </c>
      <c r="D2409" s="226"/>
      <c r="E2409" s="223" t="s">
        <v>3503</v>
      </c>
      <c r="F2409" s="223"/>
      <c r="G2409" s="223" t="s">
        <v>3504</v>
      </c>
      <c r="H2409" s="223"/>
      <c r="I2409" s="227" t="s">
        <v>3505</v>
      </c>
      <c r="J2409" s="227"/>
      <c r="K2409" s="223" t="s">
        <v>3506</v>
      </c>
      <c r="L2409" s="223"/>
      <c r="M2409" s="224"/>
    </row>
    <row r="2410" spans="2:15" ht="15.75" customHeight="1" x14ac:dyDescent="0.25">
      <c r="B2410" s="123" t="s">
        <v>3507</v>
      </c>
      <c r="C2410" s="225" t="s">
        <v>422</v>
      </c>
      <c r="D2410" s="226"/>
      <c r="E2410" s="227" t="s">
        <v>3508</v>
      </c>
      <c r="F2410" s="227"/>
      <c r="G2410" s="223" t="s">
        <v>1484</v>
      </c>
      <c r="H2410" s="223"/>
      <c r="I2410" s="223" t="s">
        <v>3509</v>
      </c>
      <c r="J2410" s="223"/>
      <c r="K2410" s="223" t="s">
        <v>3510</v>
      </c>
      <c r="L2410" s="223"/>
      <c r="M2410" s="224"/>
    </row>
    <row r="2412" spans="2:15" ht="23.25" x14ac:dyDescent="0.35">
      <c r="B2412" s="29" t="s">
        <v>334</v>
      </c>
      <c r="C2412" s="229" t="s">
        <v>220</v>
      </c>
      <c r="D2412" s="229"/>
      <c r="E2412" s="229"/>
      <c r="F2412" s="229"/>
      <c r="G2412" s="229"/>
      <c r="H2412" s="229"/>
      <c r="I2412" s="229"/>
      <c r="J2412" s="229"/>
      <c r="O2412" s="101" t="s">
        <v>481</v>
      </c>
    </row>
    <row r="2413" spans="2:15" ht="18.75" x14ac:dyDescent="0.3">
      <c r="B2413" s="12" t="s">
        <v>335</v>
      </c>
      <c r="C2413" s="195" t="s">
        <v>336</v>
      </c>
      <c r="D2413" s="228" t="s">
        <v>427</v>
      </c>
      <c r="E2413" s="228"/>
      <c r="F2413" s="1" t="s">
        <v>2096</v>
      </c>
      <c r="L2413" s="12" t="s">
        <v>339</v>
      </c>
      <c r="M2413" s="6" t="s">
        <v>219</v>
      </c>
    </row>
    <row r="2414" spans="2:15" x14ac:dyDescent="0.25">
      <c r="O2414" s="101" t="s">
        <v>732</v>
      </c>
    </row>
    <row r="2415" spans="2:15" x14ac:dyDescent="0.25">
      <c r="B2415" s="2" t="s">
        <v>341</v>
      </c>
      <c r="C2415" s="250" t="s">
        <v>805</v>
      </c>
      <c r="D2415" s="250"/>
      <c r="E2415" s="250" t="s">
        <v>1260</v>
      </c>
      <c r="F2415" s="250"/>
      <c r="G2415" s="250" t="s">
        <v>344</v>
      </c>
      <c r="H2415" s="250"/>
      <c r="I2415" s="228" t="s">
        <v>345</v>
      </c>
      <c r="J2415" s="228"/>
      <c r="K2415" s="228"/>
      <c r="L2415" s="228"/>
      <c r="M2415" s="228"/>
    </row>
    <row r="2416" spans="2:15" x14ac:dyDescent="0.25">
      <c r="C2416" s="251"/>
      <c r="D2416" s="251"/>
      <c r="E2416" s="251"/>
      <c r="F2416" s="251"/>
      <c r="G2416" s="251"/>
      <c r="H2416" s="251"/>
      <c r="I2416" s="7"/>
      <c r="J2416" s="7"/>
      <c r="K2416" s="7"/>
      <c r="L2416" s="7"/>
      <c r="M2416" s="7"/>
    </row>
    <row r="2417" spans="2:15" x14ac:dyDescent="0.25">
      <c r="B2417" s="11" t="s">
        <v>3511</v>
      </c>
      <c r="C2417" s="252" t="s">
        <v>3512</v>
      </c>
      <c r="D2417" s="252"/>
      <c r="E2417" s="252" t="s">
        <v>2148</v>
      </c>
      <c r="F2417" s="252"/>
      <c r="G2417" s="252" t="s">
        <v>3513</v>
      </c>
      <c r="H2417" s="252"/>
      <c r="I2417" s="14" t="s">
        <v>3514</v>
      </c>
      <c r="J2417" s="7"/>
      <c r="K2417" s="7"/>
      <c r="L2417" s="7"/>
      <c r="M2417" s="7"/>
      <c r="O2417" s="98" t="e">
        <f>SUM(12.5*#REF!)/100</f>
        <v>#REF!</v>
      </c>
    </row>
    <row r="2418" spans="2:15" x14ac:dyDescent="0.25">
      <c r="B2418" s="11"/>
      <c r="C2418" s="188"/>
      <c r="D2418" s="188"/>
      <c r="E2418" s="252"/>
      <c r="F2418" s="252"/>
      <c r="G2418" s="252"/>
      <c r="H2418" s="252"/>
      <c r="I2418" s="14" t="s">
        <v>3515</v>
      </c>
      <c r="J2418" s="7"/>
      <c r="K2418" s="7"/>
      <c r="L2418" s="7"/>
      <c r="M2418" s="7"/>
      <c r="O2418" s="98"/>
    </row>
    <row r="2419" spans="2:15" x14ac:dyDescent="0.25">
      <c r="B2419" s="1" t="s">
        <v>3516</v>
      </c>
      <c r="C2419" s="253" t="s">
        <v>3517</v>
      </c>
      <c r="D2419" s="253"/>
      <c r="E2419" s="253" t="s">
        <v>3512</v>
      </c>
      <c r="F2419" s="253"/>
      <c r="G2419" s="253" t="s">
        <v>3518</v>
      </c>
      <c r="H2419" s="253"/>
      <c r="I2419" s="14" t="s">
        <v>3519</v>
      </c>
      <c r="J2419" s="7"/>
      <c r="K2419" s="7"/>
      <c r="L2419" s="7"/>
      <c r="M2419" s="7"/>
      <c r="O2419" s="98" t="e">
        <f>SUM(6.25*#REF!)/100</f>
        <v>#REF!</v>
      </c>
    </row>
    <row r="2420" spans="2:15" x14ac:dyDescent="0.25">
      <c r="B2420" s="1"/>
      <c r="C2420" s="253"/>
      <c r="D2420" s="253"/>
      <c r="E2420" s="253"/>
      <c r="F2420" s="253"/>
      <c r="G2420" s="253"/>
      <c r="H2420" s="253"/>
      <c r="I2420" s="14" t="s">
        <v>3520</v>
      </c>
      <c r="J2420" s="7"/>
      <c r="K2420" s="7"/>
      <c r="L2420" s="7"/>
      <c r="M2420" s="7"/>
      <c r="O2420" s="98"/>
    </row>
    <row r="2421" spans="2:15" x14ac:dyDescent="0.25">
      <c r="B2421" s="11" t="s">
        <v>3521</v>
      </c>
      <c r="C2421" s="252" t="s">
        <v>3281</v>
      </c>
      <c r="D2421" s="252"/>
      <c r="E2421" s="252" t="s">
        <v>2507</v>
      </c>
      <c r="F2421" s="252"/>
      <c r="G2421" s="252" t="s">
        <v>2977</v>
      </c>
      <c r="H2421" s="252"/>
      <c r="I2421" s="14"/>
      <c r="J2421" s="7"/>
      <c r="K2421" s="7"/>
      <c r="L2421" s="7"/>
      <c r="M2421" s="7"/>
      <c r="O2421" s="99" t="e">
        <f>SUM(200*#REF!)/100</f>
        <v>#REF!</v>
      </c>
    </row>
    <row r="2422" spans="2:15" x14ac:dyDescent="0.25">
      <c r="B2422" s="11"/>
      <c r="C2422" s="188"/>
      <c r="D2422" s="188"/>
      <c r="E2422" s="252"/>
      <c r="F2422" s="252"/>
      <c r="G2422" s="252"/>
      <c r="H2422" s="252"/>
      <c r="I2422" s="14"/>
      <c r="J2422" s="7"/>
      <c r="K2422" s="7"/>
      <c r="L2422" s="7"/>
      <c r="M2422" s="7"/>
      <c r="O2422" s="98"/>
    </row>
    <row r="2423" spans="2:15" x14ac:dyDescent="0.25">
      <c r="B2423" s="217" t="s">
        <v>401</v>
      </c>
      <c r="C2423" s="218"/>
      <c r="D2423" s="218"/>
      <c r="E2423" s="218"/>
      <c r="F2423" s="218"/>
      <c r="G2423" s="218"/>
      <c r="H2423" s="218"/>
      <c r="I2423" s="218"/>
      <c r="J2423" s="218"/>
      <c r="K2423" s="218"/>
      <c r="L2423" s="218"/>
      <c r="M2423" s="219"/>
      <c r="O2423" s="100" t="e">
        <f>SUM(O2417:O2421)</f>
        <v>#REF!</v>
      </c>
    </row>
    <row r="2424" spans="2:15" x14ac:dyDescent="0.25">
      <c r="B2424" s="3" t="s">
        <v>402</v>
      </c>
      <c r="C2424" s="232" t="s">
        <v>403</v>
      </c>
      <c r="D2424" s="232"/>
      <c r="E2424" s="232" t="s">
        <v>467</v>
      </c>
      <c r="F2424" s="232"/>
      <c r="G2424" s="232" t="s">
        <v>405</v>
      </c>
      <c r="H2424" s="232"/>
      <c r="I2424" s="232" t="s">
        <v>406</v>
      </c>
      <c r="J2424" s="232"/>
      <c r="K2424" s="234" t="s">
        <v>468</v>
      </c>
      <c r="L2424" s="235"/>
      <c r="M2424" s="236"/>
      <c r="O2424" s="98"/>
    </row>
    <row r="2425" spans="2:15" x14ac:dyDescent="0.25">
      <c r="B2425" s="5">
        <v>1.8</v>
      </c>
      <c r="C2425" s="237">
        <v>1.857</v>
      </c>
      <c r="D2425" s="238"/>
      <c r="E2425" s="239"/>
      <c r="F2425" s="238"/>
      <c r="G2425" s="240"/>
      <c r="H2425" s="240"/>
      <c r="I2425" s="240"/>
      <c r="J2425" s="240"/>
      <c r="K2425" s="242"/>
      <c r="L2425" s="243"/>
      <c r="M2425" s="244"/>
      <c r="O2425" s="98"/>
    </row>
    <row r="2426" spans="2:15" x14ac:dyDescent="0.25">
      <c r="B2426" s="1"/>
      <c r="C2426" s="1"/>
      <c r="D2426" s="1"/>
      <c r="E2426" s="1"/>
      <c r="F2426" s="1"/>
      <c r="G2426" s="1"/>
      <c r="H2426" s="1"/>
    </row>
    <row r="2427" spans="2:15" x14ac:dyDescent="0.25">
      <c r="B2427" s="217" t="s">
        <v>408</v>
      </c>
      <c r="C2427" s="218"/>
      <c r="D2427" s="218"/>
      <c r="E2427" s="218"/>
      <c r="F2427" s="218"/>
      <c r="G2427" s="218"/>
      <c r="H2427" s="218"/>
      <c r="I2427" s="218"/>
      <c r="J2427" s="218"/>
      <c r="K2427" s="218"/>
      <c r="L2427" s="218"/>
      <c r="M2427" s="219"/>
    </row>
    <row r="2428" spans="2:15" x14ac:dyDescent="0.25">
      <c r="B2428" s="122" t="s">
        <v>3522</v>
      </c>
      <c r="C2428" s="220" t="s">
        <v>3523</v>
      </c>
      <c r="D2428" s="220"/>
      <c r="E2428" s="221" t="s">
        <v>3524</v>
      </c>
      <c r="F2428" s="221"/>
      <c r="G2428" s="221" t="s">
        <v>692</v>
      </c>
      <c r="H2428" s="221"/>
      <c r="I2428" s="220" t="s">
        <v>3525</v>
      </c>
      <c r="J2428" s="220"/>
      <c r="K2428" s="220" t="s">
        <v>3526</v>
      </c>
      <c r="L2428" s="220"/>
      <c r="M2428" s="222"/>
    </row>
    <row r="2429" spans="2:15" x14ac:dyDescent="0.25">
      <c r="B2429" s="123" t="s">
        <v>1249</v>
      </c>
      <c r="C2429" s="225" t="s">
        <v>714</v>
      </c>
      <c r="D2429" s="226"/>
      <c r="E2429" s="223" t="s">
        <v>567</v>
      </c>
      <c r="F2429" s="223"/>
      <c r="G2429" s="223" t="s">
        <v>625</v>
      </c>
      <c r="H2429" s="223"/>
      <c r="I2429" s="227" t="s">
        <v>569</v>
      </c>
      <c r="J2429" s="227"/>
      <c r="K2429" s="223" t="s">
        <v>3527</v>
      </c>
      <c r="L2429" s="223"/>
      <c r="M2429" s="224"/>
    </row>
    <row r="2430" spans="2:15" x14ac:dyDescent="0.25">
      <c r="B2430" s="123" t="s">
        <v>3528</v>
      </c>
      <c r="C2430" s="225" t="s">
        <v>422</v>
      </c>
      <c r="D2430" s="226"/>
      <c r="E2430" s="227" t="s">
        <v>3529</v>
      </c>
      <c r="F2430" s="227"/>
      <c r="G2430" s="223" t="s">
        <v>573</v>
      </c>
      <c r="H2430" s="223"/>
      <c r="I2430" s="223" t="s">
        <v>574</v>
      </c>
      <c r="J2430" s="223"/>
      <c r="K2430" s="223" t="s">
        <v>575</v>
      </c>
      <c r="L2430" s="223"/>
      <c r="M2430" s="224"/>
    </row>
    <row r="2432" spans="2:15" ht="23.25" x14ac:dyDescent="0.35">
      <c r="B2432" s="29" t="s">
        <v>334</v>
      </c>
      <c r="C2432" s="229" t="s">
        <v>222</v>
      </c>
      <c r="D2432" s="229"/>
      <c r="E2432" s="229"/>
      <c r="F2432" s="229"/>
      <c r="G2432" s="229"/>
      <c r="H2432" s="229"/>
      <c r="I2432" s="229"/>
      <c r="J2432" s="229"/>
      <c r="O2432" s="101" t="s">
        <v>481</v>
      </c>
    </row>
    <row r="2433" spans="2:15" ht="18.75" x14ac:dyDescent="0.3">
      <c r="B2433" s="12" t="s">
        <v>335</v>
      </c>
      <c r="C2433" s="195" t="s">
        <v>336</v>
      </c>
      <c r="D2433" s="228" t="s">
        <v>427</v>
      </c>
      <c r="E2433" s="228"/>
      <c r="F2433" s="1" t="s">
        <v>3530</v>
      </c>
      <c r="L2433" s="12" t="s">
        <v>339</v>
      </c>
      <c r="M2433" s="6" t="s">
        <v>221</v>
      </c>
    </row>
    <row r="2434" spans="2:15" x14ac:dyDescent="0.25">
      <c r="F2434" t="s">
        <v>3531</v>
      </c>
    </row>
    <row r="2435" spans="2:15" x14ac:dyDescent="0.25">
      <c r="B2435" s="2" t="s">
        <v>341</v>
      </c>
      <c r="C2435" s="250" t="s">
        <v>3532</v>
      </c>
      <c r="D2435" s="250"/>
      <c r="E2435" s="250" t="s">
        <v>3533</v>
      </c>
      <c r="F2435" s="250"/>
      <c r="G2435" s="250" t="s">
        <v>3534</v>
      </c>
      <c r="H2435" s="250"/>
      <c r="I2435" s="228" t="s">
        <v>345</v>
      </c>
      <c r="J2435" s="228"/>
      <c r="K2435" s="228"/>
      <c r="L2435" s="228"/>
      <c r="M2435" s="228"/>
      <c r="O2435" s="101" t="s">
        <v>3535</v>
      </c>
    </row>
    <row r="2436" spans="2:15" x14ac:dyDescent="0.25">
      <c r="C2436" s="250" t="s">
        <v>3536</v>
      </c>
      <c r="D2436" s="250"/>
      <c r="E2436" s="250" t="s">
        <v>3537</v>
      </c>
      <c r="F2436" s="250"/>
      <c r="G2436" s="250" t="s">
        <v>3538</v>
      </c>
      <c r="H2436" s="250"/>
      <c r="I2436" s="7"/>
      <c r="J2436" s="7"/>
      <c r="K2436" s="7"/>
      <c r="L2436" s="7"/>
      <c r="M2436" s="7"/>
    </row>
    <row r="2437" spans="2:15" x14ac:dyDescent="0.25">
      <c r="B2437" s="11" t="s">
        <v>3539</v>
      </c>
      <c r="C2437" s="252" t="s">
        <v>3540</v>
      </c>
      <c r="D2437" s="252"/>
      <c r="E2437" s="252" t="s">
        <v>3541</v>
      </c>
      <c r="F2437" s="252"/>
      <c r="G2437" s="252" t="s">
        <v>3542</v>
      </c>
      <c r="H2437" s="252"/>
      <c r="I2437" s="14" t="s">
        <v>3543</v>
      </c>
      <c r="J2437" s="7"/>
      <c r="K2437" s="7"/>
      <c r="L2437" s="7"/>
      <c r="M2437" s="7"/>
      <c r="O2437" s="136" t="e">
        <f>SUM(26.875*#REF!)/100</f>
        <v>#REF!</v>
      </c>
    </row>
    <row r="2438" spans="2:15" x14ac:dyDescent="0.25">
      <c r="B2438" s="11"/>
      <c r="C2438" s="188"/>
      <c r="D2438" s="188"/>
      <c r="E2438" s="252"/>
      <c r="F2438" s="252"/>
      <c r="G2438" s="252"/>
      <c r="H2438" s="252"/>
      <c r="I2438" s="14" t="s">
        <v>3544</v>
      </c>
      <c r="J2438" s="7"/>
      <c r="K2438" s="7"/>
      <c r="L2438" s="7"/>
      <c r="M2438" s="7"/>
    </row>
    <row r="2439" spans="2:15" x14ac:dyDescent="0.25">
      <c r="B2439" s="1"/>
      <c r="C2439" s="253"/>
      <c r="D2439" s="253"/>
      <c r="E2439" s="253"/>
      <c r="F2439" s="253"/>
      <c r="G2439" s="253"/>
      <c r="H2439" s="253"/>
      <c r="I2439" s="14" t="s">
        <v>3545</v>
      </c>
      <c r="J2439" s="7"/>
      <c r="K2439" s="7"/>
      <c r="L2439" s="7"/>
      <c r="M2439" s="7"/>
    </row>
    <row r="2440" spans="2:15" x14ac:dyDescent="0.25">
      <c r="B2440" s="1"/>
      <c r="C2440" s="253"/>
      <c r="D2440" s="253"/>
      <c r="E2440" s="253"/>
      <c r="F2440" s="253"/>
      <c r="G2440" s="253"/>
      <c r="H2440" s="253"/>
      <c r="I2440" s="14" t="s">
        <v>3546</v>
      </c>
      <c r="J2440" s="7"/>
      <c r="K2440" s="7"/>
      <c r="L2440" s="7"/>
      <c r="M2440" s="7"/>
    </row>
    <row r="2441" spans="2:15" x14ac:dyDescent="0.25">
      <c r="B2441" s="1"/>
      <c r="C2441" s="189"/>
      <c r="D2441" s="189"/>
      <c r="E2441" s="189"/>
      <c r="F2441" s="189"/>
      <c r="G2441" s="189"/>
      <c r="H2441" s="189"/>
      <c r="I2441" s="14" t="s">
        <v>3547</v>
      </c>
      <c r="J2441" s="7"/>
      <c r="K2441" s="7"/>
      <c r="L2441" s="7"/>
      <c r="M2441" s="7"/>
    </row>
    <row r="2442" spans="2:15" x14ac:dyDescent="0.25">
      <c r="B2442" s="1"/>
      <c r="C2442" s="189"/>
      <c r="D2442" s="189"/>
      <c r="E2442" s="189"/>
      <c r="F2442" s="189"/>
      <c r="G2442" s="189"/>
      <c r="H2442" s="189"/>
      <c r="I2442" s="14" t="s">
        <v>3545</v>
      </c>
      <c r="J2442" s="7"/>
      <c r="K2442" s="7"/>
      <c r="L2442" s="7"/>
      <c r="M2442" s="7"/>
    </row>
    <row r="2443" spans="2:15" x14ac:dyDescent="0.25">
      <c r="B2443" s="1"/>
      <c r="C2443" s="189"/>
      <c r="D2443" s="189"/>
      <c r="E2443" s="189"/>
      <c r="F2443" s="189"/>
      <c r="G2443" s="189"/>
      <c r="H2443" s="189"/>
      <c r="I2443" s="14" t="s">
        <v>3548</v>
      </c>
      <c r="J2443" s="7"/>
      <c r="K2443" s="7"/>
      <c r="L2443" s="7"/>
      <c r="M2443" s="7"/>
    </row>
    <row r="2444" spans="2:15" x14ac:dyDescent="0.25">
      <c r="B2444" s="1"/>
      <c r="C2444" s="189"/>
      <c r="D2444" s="189"/>
      <c r="E2444" s="189"/>
      <c r="F2444" s="189"/>
      <c r="G2444" s="189"/>
      <c r="H2444" s="189"/>
      <c r="I2444" s="14" t="s">
        <v>3549</v>
      </c>
      <c r="J2444" s="7"/>
      <c r="K2444" s="7"/>
      <c r="L2444" s="7"/>
      <c r="M2444" s="7"/>
    </row>
    <row r="2445" spans="2:15" x14ac:dyDescent="0.25">
      <c r="B2445" s="32"/>
      <c r="C2445" s="255"/>
      <c r="D2445" s="255"/>
      <c r="E2445" s="255"/>
      <c r="F2445" s="255"/>
      <c r="G2445" s="255"/>
      <c r="H2445" s="255"/>
      <c r="I2445" s="14" t="s">
        <v>3550</v>
      </c>
      <c r="J2445" s="7"/>
      <c r="K2445" s="7"/>
      <c r="L2445" s="7"/>
      <c r="M2445" s="7"/>
    </row>
    <row r="2446" spans="2:15" x14ac:dyDescent="0.25">
      <c r="B2446" s="32"/>
      <c r="C2446" s="191"/>
      <c r="D2446" s="191"/>
      <c r="E2446" s="255"/>
      <c r="F2446" s="255"/>
      <c r="G2446" s="255"/>
      <c r="H2446" s="255"/>
      <c r="I2446" s="14" t="s">
        <v>3551</v>
      </c>
      <c r="J2446" s="7"/>
      <c r="K2446" s="7"/>
      <c r="L2446" s="7"/>
      <c r="M2446" s="7"/>
    </row>
    <row r="2447" spans="2:15" x14ac:dyDescent="0.25">
      <c r="B2447" s="217" t="s">
        <v>3552</v>
      </c>
      <c r="C2447" s="218"/>
      <c r="D2447" s="218"/>
      <c r="E2447" s="218"/>
      <c r="F2447" s="218"/>
      <c r="G2447" s="218"/>
      <c r="H2447" s="218"/>
      <c r="I2447" s="218"/>
      <c r="J2447" s="218"/>
      <c r="K2447" s="218"/>
      <c r="L2447" s="218"/>
      <c r="M2447" s="219"/>
    </row>
    <row r="2448" spans="2:15" x14ac:dyDescent="0.25">
      <c r="B2448" s="3" t="s">
        <v>402</v>
      </c>
      <c r="C2448" s="232" t="s">
        <v>403</v>
      </c>
      <c r="D2448" s="232"/>
      <c r="E2448" s="232" t="s">
        <v>467</v>
      </c>
      <c r="F2448" s="232"/>
      <c r="G2448" s="232" t="s">
        <v>405</v>
      </c>
      <c r="H2448" s="232"/>
      <c r="I2448" s="232" t="s">
        <v>406</v>
      </c>
      <c r="J2448" s="232"/>
      <c r="K2448" s="234" t="s">
        <v>468</v>
      </c>
      <c r="L2448" s="235"/>
      <c r="M2448" s="236"/>
    </row>
    <row r="2449" spans="1:14" x14ac:dyDescent="0.25">
      <c r="B2449" s="5">
        <v>2</v>
      </c>
      <c r="C2449" s="237">
        <v>1</v>
      </c>
      <c r="D2449" s="238"/>
      <c r="E2449" s="239"/>
      <c r="F2449" s="238"/>
      <c r="G2449" s="240"/>
      <c r="H2449" s="240"/>
      <c r="I2449" s="240"/>
      <c r="J2449" s="240"/>
      <c r="K2449" s="242"/>
      <c r="L2449" s="243"/>
      <c r="M2449" s="244"/>
    </row>
    <row r="2450" spans="1:14" x14ac:dyDescent="0.25">
      <c r="B2450" s="1"/>
      <c r="C2450" s="1"/>
      <c r="D2450" s="1"/>
      <c r="E2450" s="1"/>
      <c r="F2450" s="1"/>
      <c r="G2450" s="1"/>
      <c r="H2450" s="1"/>
    </row>
    <row r="2451" spans="1:14" x14ac:dyDescent="0.25">
      <c r="B2451" s="217" t="s">
        <v>3553</v>
      </c>
      <c r="C2451" s="218"/>
      <c r="D2451" s="218"/>
      <c r="E2451" s="218"/>
      <c r="F2451" s="218"/>
      <c r="G2451" s="218"/>
      <c r="H2451" s="218"/>
      <c r="I2451" s="218"/>
      <c r="J2451" s="218"/>
      <c r="K2451" s="218"/>
      <c r="L2451" s="218"/>
      <c r="M2451" s="219"/>
    </row>
    <row r="2452" spans="1:14" x14ac:dyDescent="0.25">
      <c r="B2452" s="122" t="s">
        <v>3554</v>
      </c>
      <c r="C2452" s="220" t="s">
        <v>3555</v>
      </c>
      <c r="D2452" s="220"/>
      <c r="E2452" s="221" t="s">
        <v>1993</v>
      </c>
      <c r="F2452" s="221"/>
      <c r="G2452" s="221" t="s">
        <v>897</v>
      </c>
      <c r="H2452" s="221"/>
      <c r="I2452" s="220" t="s">
        <v>3556</v>
      </c>
      <c r="J2452" s="220"/>
      <c r="K2452" s="220" t="s">
        <v>3557</v>
      </c>
      <c r="L2452" s="220"/>
      <c r="M2452" s="222"/>
    </row>
    <row r="2453" spans="1:14" x14ac:dyDescent="0.25">
      <c r="B2453" s="124" t="s">
        <v>565</v>
      </c>
      <c r="C2453" s="245" t="s">
        <v>3302</v>
      </c>
      <c r="D2453" s="246"/>
      <c r="E2453" s="247" t="s">
        <v>3558</v>
      </c>
      <c r="F2453" s="247"/>
      <c r="G2453" s="247" t="s">
        <v>2998</v>
      </c>
      <c r="H2453" s="247"/>
      <c r="I2453" s="248" t="s">
        <v>569</v>
      </c>
      <c r="J2453" s="248"/>
      <c r="K2453" s="247" t="s">
        <v>3559</v>
      </c>
      <c r="L2453" s="247"/>
      <c r="M2453" s="249"/>
    </row>
    <row r="2454" spans="1:14" x14ac:dyDescent="0.25">
      <c r="B2454" s="168" t="s">
        <v>3560</v>
      </c>
      <c r="C2454" s="257" t="s">
        <v>422</v>
      </c>
      <c r="D2454" s="258"/>
      <c r="E2454" s="259" t="s">
        <v>3561</v>
      </c>
      <c r="F2454" s="259"/>
      <c r="G2454" s="260" t="s">
        <v>573</v>
      </c>
      <c r="H2454" s="260"/>
      <c r="I2454" s="260" t="s">
        <v>574</v>
      </c>
      <c r="J2454" s="260"/>
      <c r="K2454" s="260" t="s">
        <v>575</v>
      </c>
      <c r="L2454" s="260"/>
      <c r="M2454" s="261"/>
    </row>
    <row r="2455" spans="1:14" x14ac:dyDescent="0.25">
      <c r="A2455" s="91"/>
      <c r="B2455" s="202"/>
      <c r="C2455" s="202"/>
      <c r="D2455" s="202"/>
      <c r="E2455" s="203"/>
      <c r="F2455" s="203"/>
      <c r="G2455" s="202"/>
      <c r="H2455" s="202"/>
      <c r="I2455" s="202"/>
      <c r="J2455" s="202"/>
      <c r="K2455" s="202"/>
      <c r="L2455" s="202"/>
      <c r="M2455" s="202"/>
      <c r="N2455" s="91"/>
    </row>
    <row r="2456" spans="1:14" x14ac:dyDescent="0.25">
      <c r="B2456" s="217" t="s">
        <v>3562</v>
      </c>
      <c r="C2456" s="218"/>
      <c r="D2456" s="218"/>
      <c r="E2456" s="218"/>
      <c r="F2456" s="218"/>
      <c r="G2456" s="218"/>
      <c r="H2456" s="218"/>
      <c r="I2456" s="218"/>
      <c r="J2456" s="218"/>
      <c r="K2456" s="218"/>
      <c r="L2456" s="218"/>
      <c r="M2456" s="219"/>
    </row>
    <row r="2457" spans="1:14" x14ac:dyDescent="0.25">
      <c r="B2457" s="3" t="s">
        <v>402</v>
      </c>
      <c r="C2457" s="232" t="s">
        <v>403</v>
      </c>
      <c r="D2457" s="232"/>
      <c r="E2457" s="232" t="s">
        <v>467</v>
      </c>
      <c r="F2457" s="232"/>
      <c r="G2457" s="232" t="s">
        <v>405</v>
      </c>
      <c r="H2457" s="232"/>
      <c r="I2457" s="232" t="s">
        <v>406</v>
      </c>
      <c r="J2457" s="232"/>
      <c r="K2457" s="234" t="s">
        <v>468</v>
      </c>
      <c r="L2457" s="235"/>
      <c r="M2457" s="236"/>
    </row>
    <row r="2458" spans="1:14" x14ac:dyDescent="0.25">
      <c r="B2458" s="5">
        <v>1</v>
      </c>
      <c r="C2458" s="237">
        <v>0.5</v>
      </c>
      <c r="D2458" s="238"/>
      <c r="E2458" s="239"/>
      <c r="F2458" s="238"/>
      <c r="G2458" s="240"/>
      <c r="H2458" s="240"/>
      <c r="I2458" s="240"/>
      <c r="J2458" s="240"/>
      <c r="K2458" s="242"/>
      <c r="L2458" s="243"/>
      <c r="M2458" s="244"/>
    </row>
    <row r="2459" spans="1:14" x14ac:dyDescent="0.25">
      <c r="B2459" s="1"/>
      <c r="C2459" s="1"/>
      <c r="D2459" s="1"/>
      <c r="E2459" s="1"/>
      <c r="F2459" s="1"/>
      <c r="G2459" s="1"/>
      <c r="H2459" s="1"/>
    </row>
    <row r="2460" spans="1:14" x14ac:dyDescent="0.25">
      <c r="B2460" s="217" t="s">
        <v>3563</v>
      </c>
      <c r="C2460" s="218"/>
      <c r="D2460" s="218"/>
      <c r="E2460" s="218"/>
      <c r="F2460" s="218"/>
      <c r="G2460" s="218"/>
      <c r="H2460" s="218"/>
      <c r="I2460" s="218"/>
      <c r="J2460" s="218"/>
      <c r="K2460" s="218"/>
      <c r="L2460" s="218"/>
      <c r="M2460" s="219"/>
    </row>
    <row r="2461" spans="1:14" x14ac:dyDescent="0.25">
      <c r="B2461" s="122" t="s">
        <v>3564</v>
      </c>
      <c r="C2461" s="220" t="s">
        <v>3114</v>
      </c>
      <c r="D2461" s="220"/>
      <c r="E2461" s="221" t="s">
        <v>3115</v>
      </c>
      <c r="F2461" s="221"/>
      <c r="G2461" s="221" t="s">
        <v>3565</v>
      </c>
      <c r="H2461" s="221"/>
      <c r="I2461" s="220" t="s">
        <v>3566</v>
      </c>
      <c r="J2461" s="220"/>
      <c r="K2461" s="220" t="s">
        <v>3567</v>
      </c>
      <c r="L2461" s="220"/>
      <c r="M2461" s="222"/>
    </row>
    <row r="2462" spans="1:14" x14ac:dyDescent="0.25">
      <c r="B2462" s="124" t="s">
        <v>3568</v>
      </c>
      <c r="C2462" s="245" t="s">
        <v>416</v>
      </c>
      <c r="D2462" s="246"/>
      <c r="E2462" s="247" t="s">
        <v>3569</v>
      </c>
      <c r="F2462" s="247"/>
      <c r="G2462" s="247" t="s">
        <v>3247</v>
      </c>
      <c r="H2462" s="247"/>
      <c r="I2462" s="248" t="s">
        <v>569</v>
      </c>
      <c r="J2462" s="248"/>
      <c r="K2462" s="247" t="s">
        <v>3570</v>
      </c>
      <c r="L2462" s="247"/>
      <c r="M2462" s="249"/>
    </row>
    <row r="2463" spans="1:14" x14ac:dyDescent="0.25">
      <c r="B2463" s="168" t="s">
        <v>3560</v>
      </c>
      <c r="C2463" s="257" t="s">
        <v>422</v>
      </c>
      <c r="D2463" s="258"/>
      <c r="E2463" s="259" t="s">
        <v>3571</v>
      </c>
      <c r="F2463" s="259"/>
      <c r="G2463" s="260" t="s">
        <v>573</v>
      </c>
      <c r="H2463" s="260"/>
      <c r="I2463" s="260" t="s">
        <v>574</v>
      </c>
      <c r="J2463" s="260"/>
      <c r="K2463" s="260" t="s">
        <v>575</v>
      </c>
      <c r="L2463" s="260"/>
      <c r="M2463" s="261"/>
    </row>
    <row r="2465" spans="2:13" ht="23.25" x14ac:dyDescent="0.35">
      <c r="B2465" s="29" t="s">
        <v>334</v>
      </c>
      <c r="C2465" s="229" t="s">
        <v>224</v>
      </c>
      <c r="D2465" s="229"/>
      <c r="E2465" s="229"/>
      <c r="F2465" s="229"/>
      <c r="G2465" s="229"/>
      <c r="H2465" s="229"/>
      <c r="I2465" s="229"/>
      <c r="J2465" s="229"/>
    </row>
    <row r="2466" spans="2:13" ht="18.75" x14ac:dyDescent="0.3">
      <c r="B2466" s="12" t="s">
        <v>335</v>
      </c>
      <c r="C2466" s="195" t="s">
        <v>336</v>
      </c>
      <c r="D2466" s="228" t="s">
        <v>427</v>
      </c>
      <c r="E2466" s="228"/>
      <c r="F2466" s="1" t="s">
        <v>2000</v>
      </c>
      <c r="L2466" s="12" t="s">
        <v>339</v>
      </c>
      <c r="M2466" s="6" t="s">
        <v>223</v>
      </c>
    </row>
    <row r="2468" spans="2:13" x14ac:dyDescent="0.25">
      <c r="B2468" s="2" t="s">
        <v>341</v>
      </c>
      <c r="C2468" s="250" t="s">
        <v>3572</v>
      </c>
      <c r="D2468" s="250"/>
      <c r="E2468" s="228" t="s">
        <v>345</v>
      </c>
      <c r="F2468" s="228"/>
      <c r="G2468" s="228"/>
      <c r="H2468" s="228"/>
      <c r="I2468" s="228"/>
      <c r="J2468" s="228"/>
      <c r="K2468" s="228"/>
      <c r="L2468" s="228"/>
      <c r="M2468" s="228"/>
    </row>
    <row r="2469" spans="2:13" x14ac:dyDescent="0.25">
      <c r="C2469" s="251"/>
      <c r="D2469" s="251"/>
      <c r="E2469" s="7"/>
      <c r="F2469" s="7"/>
      <c r="G2469" s="7"/>
      <c r="H2469" s="7"/>
      <c r="I2469" s="7"/>
    </row>
    <row r="2470" spans="2:13" x14ac:dyDescent="0.25">
      <c r="B2470" s="11" t="s">
        <v>3573</v>
      </c>
      <c r="C2470" s="252" t="s">
        <v>1915</v>
      </c>
      <c r="D2470" s="252"/>
      <c r="E2470" s="14" t="s">
        <v>3574</v>
      </c>
      <c r="F2470" s="7"/>
      <c r="G2470" s="7"/>
      <c r="H2470" s="7"/>
      <c r="I2470" s="7"/>
    </row>
    <row r="2471" spans="2:13" x14ac:dyDescent="0.25">
      <c r="B2471" s="11"/>
      <c r="C2471" s="188"/>
      <c r="D2471" s="188"/>
      <c r="E2471" s="14" t="s">
        <v>3575</v>
      </c>
      <c r="F2471" s="7"/>
      <c r="G2471" s="7"/>
      <c r="H2471" s="7"/>
      <c r="I2471" s="7"/>
    </row>
    <row r="2472" spans="2:13" x14ac:dyDescent="0.25">
      <c r="B2472" s="1" t="s">
        <v>1442</v>
      </c>
      <c r="C2472" s="253" t="s">
        <v>1093</v>
      </c>
      <c r="D2472" s="253"/>
      <c r="E2472" s="14" t="s">
        <v>3576</v>
      </c>
      <c r="F2472" s="7"/>
      <c r="G2472" s="7"/>
      <c r="H2472" s="7"/>
      <c r="I2472" s="7"/>
    </row>
    <row r="2473" spans="2:13" x14ac:dyDescent="0.25">
      <c r="B2473" s="1" t="s">
        <v>869</v>
      </c>
      <c r="C2473" s="253"/>
      <c r="D2473" s="253"/>
      <c r="E2473" s="14" t="s">
        <v>3577</v>
      </c>
      <c r="F2473" s="7"/>
      <c r="G2473" s="7"/>
      <c r="H2473" s="7"/>
      <c r="I2473" s="7"/>
    </row>
    <row r="2474" spans="2:13" x14ac:dyDescent="0.25">
      <c r="B2474" s="120" t="s">
        <v>1229</v>
      </c>
      <c r="C2474" s="254" t="s">
        <v>2104</v>
      </c>
      <c r="D2474" s="254"/>
      <c r="E2474" s="14" t="s">
        <v>3578</v>
      </c>
      <c r="F2474" s="7"/>
      <c r="G2474" s="7"/>
      <c r="H2474" s="7"/>
      <c r="I2474" s="7"/>
    </row>
    <row r="2475" spans="2:13" x14ac:dyDescent="0.25">
      <c r="B2475" s="120"/>
      <c r="C2475" s="190"/>
      <c r="D2475" s="190"/>
      <c r="F2475" s="7"/>
      <c r="G2475" s="7"/>
      <c r="H2475" s="7"/>
      <c r="I2475" s="7"/>
    </row>
    <row r="2476" spans="2:13" x14ac:dyDescent="0.25">
      <c r="B2476" s="1" t="s">
        <v>3379</v>
      </c>
      <c r="C2476" s="253" t="s">
        <v>2103</v>
      </c>
      <c r="D2476" s="253"/>
      <c r="E2476" s="14" t="s">
        <v>3579</v>
      </c>
      <c r="F2476" s="7"/>
      <c r="G2476" s="7"/>
      <c r="H2476" s="7"/>
      <c r="I2476" s="7"/>
    </row>
    <row r="2477" spans="2:13" x14ac:dyDescent="0.25">
      <c r="B2477" s="1"/>
      <c r="C2477" s="189"/>
      <c r="D2477" s="189"/>
      <c r="E2477" s="14"/>
      <c r="F2477" s="7"/>
      <c r="G2477" s="7"/>
      <c r="H2477" s="7"/>
      <c r="I2477" s="7"/>
    </row>
    <row r="2478" spans="2:13" x14ac:dyDescent="0.25">
      <c r="B2478" s="120" t="s">
        <v>3580</v>
      </c>
      <c r="C2478" s="254" t="s">
        <v>2805</v>
      </c>
      <c r="D2478" s="254"/>
      <c r="E2478" s="14"/>
      <c r="F2478" s="7"/>
      <c r="G2478" s="7"/>
      <c r="H2478" s="7"/>
      <c r="I2478" s="7"/>
    </row>
    <row r="2479" spans="2:13" x14ac:dyDescent="0.25">
      <c r="B2479" s="120"/>
      <c r="C2479" s="190"/>
      <c r="D2479" s="190"/>
      <c r="E2479" s="14"/>
      <c r="F2479" s="7"/>
      <c r="G2479" s="7"/>
      <c r="H2479" s="7"/>
      <c r="I2479" s="7"/>
    </row>
    <row r="2480" spans="2:13" x14ac:dyDescent="0.25">
      <c r="B2480" s="32" t="s">
        <v>3456</v>
      </c>
      <c r="C2480" s="255" t="s">
        <v>1093</v>
      </c>
      <c r="D2480" s="255"/>
      <c r="E2480" s="14"/>
      <c r="F2480" s="7"/>
      <c r="G2480" s="7"/>
      <c r="H2480" s="7"/>
      <c r="I2480" s="7"/>
    </row>
    <row r="2481" spans="2:13" x14ac:dyDescent="0.25">
      <c r="B2481" s="32" t="s">
        <v>3458</v>
      </c>
      <c r="C2481" s="191"/>
      <c r="D2481" s="191"/>
      <c r="E2481" s="14"/>
      <c r="F2481" s="7"/>
      <c r="G2481" s="7"/>
      <c r="H2481" s="7"/>
      <c r="I2481" s="7"/>
    </row>
    <row r="2482" spans="2:13" x14ac:dyDescent="0.25">
      <c r="B2482" s="120" t="s">
        <v>3581</v>
      </c>
      <c r="C2482" s="254" t="s">
        <v>854</v>
      </c>
      <c r="D2482" s="254"/>
      <c r="E2482" s="14"/>
      <c r="F2482" s="7"/>
      <c r="G2482" s="7"/>
      <c r="H2482" s="7"/>
      <c r="I2482" s="7"/>
    </row>
    <row r="2483" spans="2:13" x14ac:dyDescent="0.25">
      <c r="B2483" s="120"/>
      <c r="C2483" s="190"/>
      <c r="D2483" s="190"/>
      <c r="E2483" s="14"/>
      <c r="F2483" s="7"/>
      <c r="G2483" s="7"/>
      <c r="H2483" s="7"/>
      <c r="I2483" s="7"/>
    </row>
    <row r="2484" spans="2:13" x14ac:dyDescent="0.25">
      <c r="B2484" s="1" t="s">
        <v>3582</v>
      </c>
      <c r="C2484" s="253" t="s">
        <v>3583</v>
      </c>
      <c r="D2484" s="253"/>
      <c r="E2484" s="14"/>
      <c r="F2484" s="7"/>
      <c r="G2484" s="7"/>
      <c r="H2484" s="7"/>
      <c r="I2484" s="7"/>
    </row>
    <row r="2485" spans="2:13" x14ac:dyDescent="0.25">
      <c r="B2485" s="1"/>
      <c r="C2485" s="189"/>
      <c r="D2485" s="189"/>
      <c r="E2485" s="14"/>
      <c r="F2485" s="7"/>
      <c r="G2485" s="7"/>
      <c r="H2485" s="7"/>
      <c r="I2485" s="7"/>
    </row>
    <row r="2486" spans="2:13" x14ac:dyDescent="0.25">
      <c r="B2486" s="120" t="s">
        <v>1905</v>
      </c>
      <c r="C2486" s="254"/>
      <c r="D2486" s="254"/>
      <c r="E2486" s="14"/>
      <c r="F2486" s="7"/>
      <c r="G2486" s="7"/>
      <c r="H2486" s="7"/>
      <c r="I2486" s="7"/>
    </row>
    <row r="2487" spans="2:13" x14ac:dyDescent="0.25">
      <c r="B2487" s="120"/>
      <c r="C2487" s="190"/>
      <c r="D2487" s="190"/>
      <c r="E2487" s="14"/>
      <c r="F2487" s="7"/>
      <c r="G2487" s="7"/>
      <c r="H2487" s="7"/>
      <c r="I2487" s="7"/>
    </row>
    <row r="2488" spans="2:13" x14ac:dyDescent="0.25">
      <c r="B2488" s="169" t="s">
        <v>1126</v>
      </c>
      <c r="C2488" s="263"/>
      <c r="D2488" s="263"/>
      <c r="E2488" s="14"/>
      <c r="F2488" s="7"/>
      <c r="G2488" s="7"/>
      <c r="H2488" s="7"/>
      <c r="I2488" s="7"/>
    </row>
    <row r="2489" spans="2:13" x14ac:dyDescent="0.25">
      <c r="B2489" s="169"/>
      <c r="C2489" s="169"/>
      <c r="D2489" s="169"/>
      <c r="E2489" s="14"/>
      <c r="F2489" s="7"/>
      <c r="G2489" s="7"/>
      <c r="H2489" s="7"/>
      <c r="I2489" s="7"/>
    </row>
    <row r="2490" spans="2:13" x14ac:dyDescent="0.25">
      <c r="B2490" s="170" t="s">
        <v>518</v>
      </c>
      <c r="C2490" s="262" t="s">
        <v>1654</v>
      </c>
      <c r="D2490" s="262"/>
      <c r="E2490" s="14"/>
      <c r="F2490" s="7"/>
      <c r="G2490" s="7"/>
      <c r="H2490" s="7"/>
      <c r="I2490" s="7"/>
    </row>
    <row r="2491" spans="2:13" x14ac:dyDescent="0.25">
      <c r="B2491" s="170"/>
      <c r="C2491" s="170"/>
      <c r="D2491" s="170"/>
      <c r="E2491" s="14"/>
      <c r="F2491" s="7"/>
      <c r="G2491" s="7"/>
      <c r="H2491" s="7"/>
      <c r="I2491" s="7"/>
    </row>
    <row r="2492" spans="2:13" x14ac:dyDescent="0.25">
      <c r="B2492" s="169" t="s">
        <v>879</v>
      </c>
      <c r="C2492" s="263"/>
      <c r="D2492" s="263"/>
      <c r="E2492" s="14"/>
      <c r="F2492" s="7"/>
      <c r="G2492" s="7"/>
      <c r="H2492" s="7"/>
      <c r="I2492" s="7"/>
    </row>
    <row r="2493" spans="2:13" x14ac:dyDescent="0.25">
      <c r="B2493" s="169"/>
      <c r="C2493" s="169"/>
      <c r="D2493" s="169"/>
      <c r="E2493" s="14"/>
      <c r="F2493" s="7"/>
      <c r="G2493" s="7"/>
      <c r="H2493" s="7"/>
      <c r="I2493" s="7"/>
    </row>
    <row r="2494" spans="2:13" x14ac:dyDescent="0.25">
      <c r="B2494" s="217" t="s">
        <v>401</v>
      </c>
      <c r="C2494" s="218"/>
      <c r="D2494" s="218"/>
      <c r="E2494" s="218"/>
      <c r="F2494" s="218"/>
      <c r="G2494" s="218"/>
      <c r="H2494" s="218"/>
      <c r="I2494" s="218"/>
      <c r="J2494" s="218"/>
      <c r="K2494" s="218"/>
      <c r="L2494" s="218"/>
      <c r="M2494" s="219"/>
    </row>
    <row r="2495" spans="2:13" x14ac:dyDescent="0.25">
      <c r="B2495" s="3" t="s">
        <v>402</v>
      </c>
      <c r="C2495" s="232" t="s">
        <v>403</v>
      </c>
      <c r="D2495" s="232"/>
      <c r="E2495" s="256" t="s">
        <v>404</v>
      </c>
      <c r="F2495" s="256"/>
      <c r="G2495" s="233" t="s">
        <v>1241</v>
      </c>
      <c r="H2495" s="233"/>
      <c r="I2495" s="232" t="s">
        <v>406</v>
      </c>
      <c r="J2495" s="232"/>
      <c r="K2495" s="234" t="s">
        <v>407</v>
      </c>
      <c r="L2495" s="235"/>
      <c r="M2495" s="236"/>
    </row>
    <row r="2496" spans="2:13" x14ac:dyDescent="0.25">
      <c r="B2496" s="5">
        <v>1</v>
      </c>
      <c r="C2496" s="237">
        <v>1.4</v>
      </c>
      <c r="D2496" s="238"/>
      <c r="E2496" s="239">
        <v>0.25</v>
      </c>
      <c r="F2496" s="238"/>
      <c r="G2496" s="240">
        <v>1.5</v>
      </c>
      <c r="H2496" s="240"/>
      <c r="I2496" s="240"/>
      <c r="J2496" s="240"/>
      <c r="K2496" s="242">
        <v>0.47499999999999998</v>
      </c>
      <c r="L2496" s="243"/>
      <c r="M2496" s="244"/>
    </row>
    <row r="2497" spans="2:13" x14ac:dyDescent="0.25">
      <c r="B2497" s="1"/>
      <c r="C2497" s="1"/>
      <c r="D2497" s="1"/>
      <c r="E2497" s="1"/>
      <c r="F2497" s="1"/>
      <c r="G2497" s="1"/>
      <c r="H2497" s="1"/>
    </row>
    <row r="2498" spans="2:13" x14ac:dyDescent="0.25">
      <c r="B2498" s="217" t="s">
        <v>3584</v>
      </c>
      <c r="C2498" s="218"/>
      <c r="D2498" s="218"/>
      <c r="E2498" s="218"/>
      <c r="F2498" s="218"/>
      <c r="G2498" s="218"/>
      <c r="H2498" s="218"/>
      <c r="I2498" s="218"/>
      <c r="J2498" s="218"/>
      <c r="K2498" s="218"/>
      <c r="L2498" s="218"/>
      <c r="M2498" s="219"/>
    </row>
    <row r="2499" spans="2:13" x14ac:dyDescent="0.25">
      <c r="B2499" s="122" t="s">
        <v>3585</v>
      </c>
      <c r="C2499" s="220" t="s">
        <v>635</v>
      </c>
      <c r="D2499" s="220"/>
      <c r="E2499" s="221" t="s">
        <v>2994</v>
      </c>
      <c r="F2499" s="221"/>
      <c r="G2499" s="221" t="s">
        <v>3586</v>
      </c>
      <c r="H2499" s="221"/>
      <c r="I2499" s="220" t="s">
        <v>3587</v>
      </c>
      <c r="J2499" s="220"/>
      <c r="K2499" s="220" t="s">
        <v>3588</v>
      </c>
      <c r="L2499" s="220"/>
      <c r="M2499" s="222"/>
    </row>
    <row r="2500" spans="2:13" x14ac:dyDescent="0.25">
      <c r="B2500" s="124" t="s">
        <v>935</v>
      </c>
      <c r="C2500" s="245" t="s">
        <v>2202</v>
      </c>
      <c r="D2500" s="246"/>
      <c r="E2500" s="247" t="s">
        <v>3589</v>
      </c>
      <c r="F2500" s="247"/>
      <c r="G2500" s="247" t="s">
        <v>3590</v>
      </c>
      <c r="H2500" s="247"/>
      <c r="I2500" s="248" t="s">
        <v>3591</v>
      </c>
      <c r="J2500" s="248"/>
      <c r="K2500" s="247" t="s">
        <v>3592</v>
      </c>
      <c r="L2500" s="247"/>
      <c r="M2500" s="249"/>
    </row>
    <row r="2501" spans="2:13" x14ac:dyDescent="0.25">
      <c r="B2501" s="168" t="s">
        <v>829</v>
      </c>
      <c r="C2501" s="257" t="s">
        <v>422</v>
      </c>
      <c r="D2501" s="258"/>
      <c r="E2501" s="259" t="s">
        <v>3593</v>
      </c>
      <c r="F2501" s="259"/>
      <c r="G2501" s="260" t="s">
        <v>3594</v>
      </c>
      <c r="H2501" s="260"/>
      <c r="I2501" s="260" t="s">
        <v>3595</v>
      </c>
      <c r="J2501" s="260"/>
      <c r="K2501" s="260" t="s">
        <v>575</v>
      </c>
      <c r="L2501" s="260"/>
      <c r="M2501" s="261"/>
    </row>
    <row r="2503" spans="2:13" ht="23.25" x14ac:dyDescent="0.35">
      <c r="B2503" s="29" t="s">
        <v>334</v>
      </c>
      <c r="C2503" s="229" t="s">
        <v>226</v>
      </c>
      <c r="D2503" s="229"/>
      <c r="E2503" s="229"/>
      <c r="F2503" s="229"/>
      <c r="G2503" s="229"/>
      <c r="H2503" s="229"/>
      <c r="I2503" s="229"/>
      <c r="J2503" s="229"/>
    </row>
    <row r="2504" spans="2:13" ht="18.75" x14ac:dyDescent="0.3">
      <c r="B2504" s="12" t="s">
        <v>335</v>
      </c>
      <c r="C2504" s="195" t="s">
        <v>336</v>
      </c>
      <c r="D2504" s="228" t="s">
        <v>427</v>
      </c>
      <c r="E2504" s="228"/>
      <c r="F2504" s="1" t="s">
        <v>2000</v>
      </c>
      <c r="L2504" s="12" t="s">
        <v>339</v>
      </c>
      <c r="M2504" s="6" t="s">
        <v>225</v>
      </c>
    </row>
    <row r="2506" spans="2:13" x14ac:dyDescent="0.25">
      <c r="B2506" s="2" t="s">
        <v>341</v>
      </c>
      <c r="C2506" s="250" t="s">
        <v>3572</v>
      </c>
      <c r="D2506" s="250"/>
      <c r="E2506" s="228" t="s">
        <v>345</v>
      </c>
      <c r="F2506" s="228"/>
      <c r="G2506" s="228"/>
      <c r="H2506" s="228"/>
      <c r="I2506" s="228"/>
      <c r="J2506" s="228"/>
      <c r="K2506" s="228"/>
      <c r="L2506" s="228"/>
      <c r="M2506" s="228"/>
    </row>
    <row r="2507" spans="2:13" x14ac:dyDescent="0.25">
      <c r="C2507" s="251"/>
      <c r="D2507" s="251"/>
      <c r="E2507" s="7"/>
      <c r="F2507" s="7"/>
      <c r="G2507" s="7"/>
      <c r="H2507" s="7"/>
      <c r="I2507" s="7"/>
    </row>
    <row r="2508" spans="2:13" x14ac:dyDescent="0.25">
      <c r="B2508" s="11" t="s">
        <v>3596</v>
      </c>
      <c r="C2508" s="252" t="s">
        <v>1915</v>
      </c>
      <c r="D2508" s="252"/>
      <c r="E2508" s="14" t="s">
        <v>3597</v>
      </c>
      <c r="F2508" s="7"/>
      <c r="G2508" s="7"/>
      <c r="H2508" s="7"/>
      <c r="I2508" s="7"/>
    </row>
    <row r="2509" spans="2:13" x14ac:dyDescent="0.25">
      <c r="B2509" s="11"/>
      <c r="C2509" s="188"/>
      <c r="D2509" s="188"/>
      <c r="E2509" s="14" t="s">
        <v>3575</v>
      </c>
      <c r="F2509" s="7"/>
      <c r="G2509" s="7"/>
      <c r="H2509" s="7"/>
      <c r="I2509" s="7"/>
    </row>
    <row r="2510" spans="2:13" x14ac:dyDescent="0.25">
      <c r="B2510" s="1" t="s">
        <v>3598</v>
      </c>
      <c r="C2510" s="253" t="s">
        <v>1093</v>
      </c>
      <c r="D2510" s="253"/>
      <c r="E2510" s="14" t="s">
        <v>3599</v>
      </c>
      <c r="F2510" s="7"/>
      <c r="G2510" s="7"/>
      <c r="H2510" s="7"/>
      <c r="I2510" s="7"/>
    </row>
    <row r="2511" spans="2:13" x14ac:dyDescent="0.25">
      <c r="B2511" s="1" t="s">
        <v>869</v>
      </c>
      <c r="C2511" s="253"/>
      <c r="D2511" s="253"/>
      <c r="E2511" s="14" t="s">
        <v>3600</v>
      </c>
      <c r="F2511" s="7"/>
      <c r="G2511" s="7"/>
      <c r="H2511" s="7"/>
      <c r="I2511" s="7"/>
    </row>
    <row r="2512" spans="2:13" x14ac:dyDescent="0.25">
      <c r="B2512" s="120" t="s">
        <v>1229</v>
      </c>
      <c r="C2512" s="254" t="s">
        <v>2104</v>
      </c>
      <c r="D2512" s="254"/>
      <c r="E2512" s="14" t="s">
        <v>3601</v>
      </c>
      <c r="F2512" s="7"/>
      <c r="G2512" s="7"/>
      <c r="H2512" s="7"/>
      <c r="I2512" s="7"/>
    </row>
    <row r="2513" spans="2:13" x14ac:dyDescent="0.25">
      <c r="B2513" s="120"/>
      <c r="C2513" s="190"/>
      <c r="D2513" s="190"/>
      <c r="F2513" s="7"/>
      <c r="G2513" s="7"/>
      <c r="H2513" s="7"/>
      <c r="I2513" s="7"/>
    </row>
    <row r="2514" spans="2:13" x14ac:dyDescent="0.25">
      <c r="B2514" s="1" t="s">
        <v>3379</v>
      </c>
      <c r="C2514" s="253" t="s">
        <v>2103</v>
      </c>
      <c r="D2514" s="253"/>
      <c r="E2514" s="14" t="s">
        <v>3602</v>
      </c>
      <c r="F2514" s="7"/>
      <c r="G2514" s="7"/>
      <c r="H2514" s="7"/>
      <c r="I2514" s="7"/>
    </row>
    <row r="2515" spans="2:13" x14ac:dyDescent="0.25">
      <c r="B2515" s="1"/>
      <c r="C2515" s="189"/>
      <c r="D2515" s="189"/>
      <c r="E2515" s="14"/>
      <c r="F2515" s="7"/>
      <c r="G2515" s="7"/>
      <c r="H2515" s="7"/>
      <c r="I2515" s="7"/>
    </row>
    <row r="2516" spans="2:13" x14ac:dyDescent="0.25">
      <c r="B2516" s="120" t="s">
        <v>3580</v>
      </c>
      <c r="C2516" s="254" t="s">
        <v>2805</v>
      </c>
      <c r="D2516" s="254"/>
      <c r="E2516" s="14"/>
      <c r="F2516" s="7"/>
      <c r="G2516" s="7"/>
      <c r="H2516" s="7"/>
      <c r="I2516" s="7"/>
    </row>
    <row r="2517" spans="2:13" x14ac:dyDescent="0.25">
      <c r="B2517" s="120"/>
      <c r="C2517" s="190"/>
      <c r="D2517" s="190"/>
      <c r="E2517" s="14"/>
      <c r="F2517" s="7"/>
      <c r="G2517" s="7"/>
      <c r="H2517" s="7"/>
      <c r="I2517" s="7"/>
    </row>
    <row r="2518" spans="2:13" x14ac:dyDescent="0.25">
      <c r="B2518" s="32" t="s">
        <v>3603</v>
      </c>
      <c r="C2518" s="255" t="s">
        <v>1093</v>
      </c>
      <c r="D2518" s="255"/>
      <c r="E2518" s="14"/>
      <c r="F2518" s="7"/>
      <c r="G2518" s="7"/>
      <c r="H2518" s="7"/>
      <c r="I2518" s="7"/>
    </row>
    <row r="2519" spans="2:13" x14ac:dyDescent="0.25">
      <c r="B2519" s="32"/>
      <c r="C2519" s="191"/>
      <c r="D2519" s="191"/>
      <c r="E2519" s="14"/>
      <c r="F2519" s="7"/>
      <c r="G2519" s="7"/>
      <c r="H2519" s="7"/>
      <c r="I2519" s="7"/>
    </row>
    <row r="2520" spans="2:13" x14ac:dyDescent="0.25">
      <c r="B2520" s="120" t="s">
        <v>3581</v>
      </c>
      <c r="C2520" s="254" t="s">
        <v>854</v>
      </c>
      <c r="D2520" s="254"/>
      <c r="E2520" s="14"/>
      <c r="F2520" s="7"/>
      <c r="G2520" s="7"/>
      <c r="H2520" s="7"/>
      <c r="I2520" s="7"/>
    </row>
    <row r="2521" spans="2:13" x14ac:dyDescent="0.25">
      <c r="B2521" s="120"/>
      <c r="C2521" s="190"/>
      <c r="D2521" s="190"/>
      <c r="E2521" s="14"/>
      <c r="F2521" s="7"/>
      <c r="G2521" s="7"/>
      <c r="H2521" s="7"/>
      <c r="I2521" s="7"/>
    </row>
    <row r="2522" spans="2:13" x14ac:dyDescent="0.25">
      <c r="B2522" s="217" t="s">
        <v>401</v>
      </c>
      <c r="C2522" s="218"/>
      <c r="D2522" s="218"/>
      <c r="E2522" s="218"/>
      <c r="F2522" s="218"/>
      <c r="G2522" s="218"/>
      <c r="H2522" s="218"/>
      <c r="I2522" s="218"/>
      <c r="J2522" s="218"/>
      <c r="K2522" s="218"/>
      <c r="L2522" s="218"/>
      <c r="M2522" s="219"/>
    </row>
    <row r="2523" spans="2:13" x14ac:dyDescent="0.25">
      <c r="B2523" s="3" t="s">
        <v>402</v>
      </c>
      <c r="C2523" s="232" t="s">
        <v>403</v>
      </c>
      <c r="D2523" s="232"/>
      <c r="E2523" s="256" t="s">
        <v>404</v>
      </c>
      <c r="F2523" s="256"/>
      <c r="G2523" s="233" t="s">
        <v>1241</v>
      </c>
      <c r="H2523" s="233"/>
      <c r="I2523" s="232" t="s">
        <v>406</v>
      </c>
      <c r="J2523" s="232"/>
      <c r="K2523" s="234" t="s">
        <v>407</v>
      </c>
      <c r="L2523" s="235"/>
      <c r="M2523" s="236"/>
    </row>
    <row r="2524" spans="2:13" x14ac:dyDescent="0.25">
      <c r="B2524" s="5">
        <v>1</v>
      </c>
      <c r="C2524" s="237">
        <v>1.4</v>
      </c>
      <c r="D2524" s="238"/>
      <c r="E2524" s="239">
        <v>0.25</v>
      </c>
      <c r="F2524" s="238"/>
      <c r="G2524" s="240">
        <v>1.2849999999999999</v>
      </c>
      <c r="H2524" s="240"/>
      <c r="I2524" s="240"/>
      <c r="J2524" s="240"/>
      <c r="K2524" s="242">
        <v>0.47499999999999998</v>
      </c>
      <c r="L2524" s="243"/>
      <c r="M2524" s="244"/>
    </row>
    <row r="2525" spans="2:13" x14ac:dyDescent="0.25">
      <c r="B2525" s="1"/>
      <c r="C2525" s="1"/>
      <c r="D2525" s="1"/>
      <c r="E2525" s="1"/>
      <c r="F2525" s="1"/>
      <c r="G2525" s="1"/>
      <c r="H2525" s="1"/>
    </row>
    <row r="2526" spans="2:13" x14ac:dyDescent="0.25">
      <c r="B2526" s="217" t="s">
        <v>3584</v>
      </c>
      <c r="C2526" s="218"/>
      <c r="D2526" s="218"/>
      <c r="E2526" s="218"/>
      <c r="F2526" s="218"/>
      <c r="G2526" s="218"/>
      <c r="H2526" s="218"/>
      <c r="I2526" s="218"/>
      <c r="J2526" s="218"/>
      <c r="K2526" s="218"/>
      <c r="L2526" s="218"/>
      <c r="M2526" s="219"/>
    </row>
    <row r="2527" spans="2:13" x14ac:dyDescent="0.25">
      <c r="B2527" s="122" t="s">
        <v>3604</v>
      </c>
      <c r="C2527" s="220" t="s">
        <v>931</v>
      </c>
      <c r="D2527" s="220"/>
      <c r="E2527" s="221" t="s">
        <v>3605</v>
      </c>
      <c r="F2527" s="221"/>
      <c r="G2527" s="221" t="s">
        <v>3606</v>
      </c>
      <c r="H2527" s="221"/>
      <c r="I2527" s="220" t="s">
        <v>3607</v>
      </c>
      <c r="J2527" s="220"/>
      <c r="K2527" s="220" t="s">
        <v>3608</v>
      </c>
      <c r="L2527" s="220"/>
      <c r="M2527" s="222"/>
    </row>
    <row r="2528" spans="2:13" x14ac:dyDescent="0.25">
      <c r="B2528" s="123" t="s">
        <v>3609</v>
      </c>
      <c r="C2528" s="225" t="s">
        <v>714</v>
      </c>
      <c r="D2528" s="226"/>
      <c r="E2528" s="223" t="s">
        <v>3610</v>
      </c>
      <c r="F2528" s="223"/>
      <c r="G2528" s="223" t="s">
        <v>3611</v>
      </c>
      <c r="H2528" s="223"/>
      <c r="I2528" s="227" t="s">
        <v>3612</v>
      </c>
      <c r="J2528" s="227"/>
      <c r="K2528" s="223" t="s">
        <v>3613</v>
      </c>
      <c r="L2528" s="223"/>
      <c r="M2528" s="224"/>
    </row>
    <row r="2529" spans="2:13" x14ac:dyDescent="0.25">
      <c r="B2529" s="123" t="s">
        <v>939</v>
      </c>
      <c r="C2529" s="225" t="s">
        <v>906</v>
      </c>
      <c r="D2529" s="226"/>
      <c r="E2529" s="227" t="s">
        <v>3614</v>
      </c>
      <c r="F2529" s="227"/>
      <c r="G2529" s="223" t="s">
        <v>3615</v>
      </c>
      <c r="H2529" s="223"/>
      <c r="I2529" s="223" t="s">
        <v>3616</v>
      </c>
      <c r="J2529" s="223"/>
      <c r="K2529" s="223" t="s">
        <v>575</v>
      </c>
      <c r="L2529" s="223"/>
      <c r="M2529" s="224"/>
    </row>
  </sheetData>
  <mergeCells count="5245">
    <mergeCell ref="G2454:H2454"/>
    <mergeCell ref="I2454:J2454"/>
    <mergeCell ref="K2454:M2454"/>
    <mergeCell ref="C975:D975"/>
    <mergeCell ref="E975:F975"/>
    <mergeCell ref="G975:H975"/>
    <mergeCell ref="I975:J975"/>
    <mergeCell ref="K975:M975"/>
    <mergeCell ref="C1607:D1607"/>
    <mergeCell ref="E1607:F1607"/>
    <mergeCell ref="G1607:H1607"/>
    <mergeCell ref="I1607:J1607"/>
    <mergeCell ref="K1607:M1607"/>
    <mergeCell ref="B2447:M2447"/>
    <mergeCell ref="C2448:D2448"/>
    <mergeCell ref="E2448:F2448"/>
    <mergeCell ref="G2448:H2448"/>
    <mergeCell ref="I2448:J2448"/>
    <mergeCell ref="K2448:M2448"/>
    <mergeCell ref="C2449:D2449"/>
    <mergeCell ref="E2449:F2449"/>
    <mergeCell ref="G2449:H2449"/>
    <mergeCell ref="I2449:J2449"/>
    <mergeCell ref="K2449:M2449"/>
    <mergeCell ref="C2430:D2430"/>
    <mergeCell ref="E2430:F2430"/>
    <mergeCell ref="G2430:H2430"/>
    <mergeCell ref="I2430:J2430"/>
    <mergeCell ref="K2430:M2430"/>
    <mergeCell ref="B2423:M2423"/>
    <mergeCell ref="C2424:D2424"/>
    <mergeCell ref="E2424:F2424"/>
    <mergeCell ref="C493:D493"/>
    <mergeCell ref="E493:F493"/>
    <mergeCell ref="G493:H493"/>
    <mergeCell ref="I493:J493"/>
    <mergeCell ref="K493:M493"/>
    <mergeCell ref="C494:D494"/>
    <mergeCell ref="E494:F494"/>
    <mergeCell ref="G494:H494"/>
    <mergeCell ref="I494:J494"/>
    <mergeCell ref="K494:M494"/>
    <mergeCell ref="B487:M487"/>
    <mergeCell ref="C488:D488"/>
    <mergeCell ref="E488:F488"/>
    <mergeCell ref="G488:H488"/>
    <mergeCell ref="I488:J488"/>
    <mergeCell ref="K488:M488"/>
    <mergeCell ref="C489:D489"/>
    <mergeCell ref="E489:F489"/>
    <mergeCell ref="G489:H489"/>
    <mergeCell ref="I489:J489"/>
    <mergeCell ref="K489:M489"/>
    <mergeCell ref="B491:M491"/>
    <mergeCell ref="C492:D492"/>
    <mergeCell ref="E492:F492"/>
    <mergeCell ref="G492:H492"/>
    <mergeCell ref="I492:J492"/>
    <mergeCell ref="K492:M492"/>
    <mergeCell ref="G386:H386"/>
    <mergeCell ref="I386:J386"/>
    <mergeCell ref="K386:M386"/>
    <mergeCell ref="C2397:D2397"/>
    <mergeCell ref="C2398:D2398"/>
    <mergeCell ref="C2399:D2399"/>
    <mergeCell ref="C2401:D2401"/>
    <mergeCell ref="E2397:F2397"/>
    <mergeCell ref="G2397:H2397"/>
    <mergeCell ref="E2399:F2399"/>
    <mergeCell ref="G2399:H2399"/>
    <mergeCell ref="E2401:F2401"/>
    <mergeCell ref="G2401:H2401"/>
    <mergeCell ref="E1979:F1979"/>
    <mergeCell ref="G1979:H1979"/>
    <mergeCell ref="I1979:J1979"/>
    <mergeCell ref="K1979:M1979"/>
    <mergeCell ref="C721:D721"/>
    <mergeCell ref="E721:F721"/>
    <mergeCell ref="G721:H721"/>
    <mergeCell ref="I721:J721"/>
    <mergeCell ref="K721:M721"/>
    <mergeCell ref="C534:D534"/>
    <mergeCell ref="E534:F534"/>
    <mergeCell ref="G534:H534"/>
    <mergeCell ref="C416:D416"/>
    <mergeCell ref="E416:F416"/>
    <mergeCell ref="G416:H416"/>
    <mergeCell ref="I416:J416"/>
    <mergeCell ref="K416:M416"/>
    <mergeCell ref="C604:D604"/>
    <mergeCell ref="E604:F604"/>
    <mergeCell ref="G665:H665"/>
    <mergeCell ref="I665:J665"/>
    <mergeCell ref="K665:M665"/>
    <mergeCell ref="C763:D763"/>
    <mergeCell ref="E763:F763"/>
    <mergeCell ref="G763:H763"/>
    <mergeCell ref="I763:J763"/>
    <mergeCell ref="K763:M763"/>
    <mergeCell ref="I605:J605"/>
    <mergeCell ref="K605:M605"/>
    <mergeCell ref="C601:D601"/>
    <mergeCell ref="E601:F601"/>
    <mergeCell ref="G601:H601"/>
    <mergeCell ref="I601:J601"/>
    <mergeCell ref="K601:M601"/>
    <mergeCell ref="B680:M680"/>
    <mergeCell ref="I681:J681"/>
    <mergeCell ref="K681:M681"/>
    <mergeCell ref="C682:D682"/>
    <mergeCell ref="I682:J682"/>
    <mergeCell ref="K682:M682"/>
    <mergeCell ref="B684:M684"/>
    <mergeCell ref="C758:D758"/>
    <mergeCell ref="E758:F758"/>
    <mergeCell ref="C728:D728"/>
    <mergeCell ref="E728:F728"/>
    <mergeCell ref="G728:H728"/>
    <mergeCell ref="C729:D729"/>
    <mergeCell ref="E729:F729"/>
    <mergeCell ref="G729:H729"/>
    <mergeCell ref="C733:D733"/>
    <mergeCell ref="E733:F733"/>
    <mergeCell ref="G889:H889"/>
    <mergeCell ref="I889:J889"/>
    <mergeCell ref="K889:M889"/>
    <mergeCell ref="G759:H759"/>
    <mergeCell ref="I759:J759"/>
    <mergeCell ref="K759:M759"/>
    <mergeCell ref="E753:F753"/>
    <mergeCell ref="E755:F755"/>
    <mergeCell ref="G749:H749"/>
    <mergeCell ref="G751:H751"/>
    <mergeCell ref="I534:J534"/>
    <mergeCell ref="K534:M534"/>
    <mergeCell ref="C1952:D1952"/>
    <mergeCell ref="E1952:F1952"/>
    <mergeCell ref="G1952:H1952"/>
    <mergeCell ref="C605:D605"/>
    <mergeCell ref="E605:F605"/>
    <mergeCell ref="G605:H605"/>
    <mergeCell ref="C937:D937"/>
    <mergeCell ref="E937:F937"/>
    <mergeCell ref="G937:H937"/>
    <mergeCell ref="I1952:J1952"/>
    <mergeCell ref="K1952:M1952"/>
    <mergeCell ref="C765:D765"/>
    <mergeCell ref="E765:F765"/>
    <mergeCell ref="C559:D559"/>
    <mergeCell ref="E559:F559"/>
    <mergeCell ref="G559:H559"/>
    <mergeCell ref="I559:J559"/>
    <mergeCell ref="K559:M559"/>
    <mergeCell ref="C665:D665"/>
    <mergeCell ref="E665:F665"/>
    <mergeCell ref="B401:M401"/>
    <mergeCell ref="C402:D402"/>
    <mergeCell ref="E402:F402"/>
    <mergeCell ref="G402:H402"/>
    <mergeCell ref="I402:J402"/>
    <mergeCell ref="K402:M402"/>
    <mergeCell ref="C403:D403"/>
    <mergeCell ref="E403:F403"/>
    <mergeCell ref="G403:H403"/>
    <mergeCell ref="I403:J403"/>
    <mergeCell ref="K403:M403"/>
    <mergeCell ref="B405:M405"/>
    <mergeCell ref="C406:D406"/>
    <mergeCell ref="E406:F406"/>
    <mergeCell ref="G406:H406"/>
    <mergeCell ref="I406:J406"/>
    <mergeCell ref="K406:M406"/>
    <mergeCell ref="C372:D372"/>
    <mergeCell ref="E372:F372"/>
    <mergeCell ref="G372:H372"/>
    <mergeCell ref="I372:J372"/>
    <mergeCell ref="K372:M372"/>
    <mergeCell ref="C411:D411"/>
    <mergeCell ref="E411:F411"/>
    <mergeCell ref="G411:H411"/>
    <mergeCell ref="I411:J411"/>
    <mergeCell ref="K411:M411"/>
    <mergeCell ref="C131:D131"/>
    <mergeCell ref="E131:F131"/>
    <mergeCell ref="G131:H131"/>
    <mergeCell ref="I131:J131"/>
    <mergeCell ref="K131:M131"/>
    <mergeCell ref="C132:D132"/>
    <mergeCell ref="E132:F132"/>
    <mergeCell ref="G132:H132"/>
    <mergeCell ref="I132:J132"/>
    <mergeCell ref="K132:M132"/>
    <mergeCell ref="C407:D407"/>
    <mergeCell ref="E407:F407"/>
    <mergeCell ref="G407:H407"/>
    <mergeCell ref="I407:J407"/>
    <mergeCell ref="K407:M407"/>
    <mergeCell ref="C408:D408"/>
    <mergeCell ref="E408:F408"/>
    <mergeCell ref="G408:H408"/>
    <mergeCell ref="I408:J408"/>
    <mergeCell ref="K408:M408"/>
    <mergeCell ref="C386:D386"/>
    <mergeCell ref="E386:F386"/>
    <mergeCell ref="B125:M125"/>
    <mergeCell ref="C126:D126"/>
    <mergeCell ref="E126:F126"/>
    <mergeCell ref="G126:H126"/>
    <mergeCell ref="I126:J126"/>
    <mergeCell ref="K126:M126"/>
    <mergeCell ref="C127:D127"/>
    <mergeCell ref="E127:F127"/>
    <mergeCell ref="G127:H127"/>
    <mergeCell ref="I127:J127"/>
    <mergeCell ref="K127:M127"/>
    <mergeCell ref="B129:M129"/>
    <mergeCell ref="C130:D130"/>
    <mergeCell ref="E130:F130"/>
    <mergeCell ref="G130:H130"/>
    <mergeCell ref="I130:J130"/>
    <mergeCell ref="K130:M130"/>
    <mergeCell ref="C393:D393"/>
    <mergeCell ref="C395:D395"/>
    <mergeCell ref="C397:D397"/>
    <mergeCell ref="C399:D399"/>
    <mergeCell ref="C388:L388"/>
    <mergeCell ref="C377:D377"/>
    <mergeCell ref="E377:F377"/>
    <mergeCell ref="K377:M377"/>
    <mergeCell ref="G377:H377"/>
    <mergeCell ref="I377:J377"/>
    <mergeCell ref="G765:H765"/>
    <mergeCell ref="I765:J765"/>
    <mergeCell ref="K765:M765"/>
    <mergeCell ref="C685:D685"/>
    <mergeCell ref="E685:F685"/>
    <mergeCell ref="G685:H685"/>
    <mergeCell ref="I685:J685"/>
    <mergeCell ref="K685:M685"/>
    <mergeCell ref="C764:D764"/>
    <mergeCell ref="E764:F764"/>
    <mergeCell ref="G764:H764"/>
    <mergeCell ref="I764:J764"/>
    <mergeCell ref="K764:M764"/>
    <mergeCell ref="C749:D749"/>
    <mergeCell ref="C751:D751"/>
    <mergeCell ref="C753:D753"/>
    <mergeCell ref="C755:D755"/>
    <mergeCell ref="G758:H758"/>
    <mergeCell ref="I758:J758"/>
    <mergeCell ref="K758:M758"/>
    <mergeCell ref="C759:D759"/>
    <mergeCell ref="E759:F759"/>
    <mergeCell ref="K2424:M2424"/>
    <mergeCell ref="C2425:D2425"/>
    <mergeCell ref="E2425:F2425"/>
    <mergeCell ref="G2425:H2425"/>
    <mergeCell ref="I2425:J2425"/>
    <mergeCell ref="K2425:M2425"/>
    <mergeCell ref="B2427:M2427"/>
    <mergeCell ref="C945:D945"/>
    <mergeCell ref="E945:F945"/>
    <mergeCell ref="B603:M603"/>
    <mergeCell ref="C2428:D2428"/>
    <mergeCell ref="E2428:F2428"/>
    <mergeCell ref="G2428:H2428"/>
    <mergeCell ref="I2428:J2428"/>
    <mergeCell ref="K2428:M2428"/>
    <mergeCell ref="I2355:J2355"/>
    <mergeCell ref="K2355:M2355"/>
    <mergeCell ref="C2348:D2348"/>
    <mergeCell ref="E2348:F2348"/>
    <mergeCell ref="E2349:F2349"/>
    <mergeCell ref="C2350:D2350"/>
    <mergeCell ref="E2350:F2350"/>
    <mergeCell ref="E2351:F2351"/>
    <mergeCell ref="C2352:D2352"/>
    <mergeCell ref="E2352:F2352"/>
    <mergeCell ref="E2353:F2353"/>
    <mergeCell ref="K2356:M2356"/>
    <mergeCell ref="B2358:M2358"/>
    <mergeCell ref="C2359:D2359"/>
    <mergeCell ref="E2359:F2359"/>
    <mergeCell ref="C889:D889"/>
    <mergeCell ref="E889:F889"/>
    <mergeCell ref="C2429:D2429"/>
    <mergeCell ref="E2429:F2429"/>
    <mergeCell ref="G2429:H2429"/>
    <mergeCell ref="I2429:J2429"/>
    <mergeCell ref="K2429:M2429"/>
    <mergeCell ref="C2420:D2420"/>
    <mergeCell ref="E2420:F2420"/>
    <mergeCell ref="G2420:H2420"/>
    <mergeCell ref="C2421:D2421"/>
    <mergeCell ref="E2421:F2421"/>
    <mergeCell ref="G2421:H2421"/>
    <mergeCell ref="E2422:F2422"/>
    <mergeCell ref="G2422:H2422"/>
    <mergeCell ref="C2412:J2412"/>
    <mergeCell ref="D2413:E2413"/>
    <mergeCell ref="C2415:D2415"/>
    <mergeCell ref="E2415:F2415"/>
    <mergeCell ref="G2415:H2415"/>
    <mergeCell ref="I2415:M2415"/>
    <mergeCell ref="C2416:D2416"/>
    <mergeCell ref="E2416:F2416"/>
    <mergeCell ref="G2416:H2416"/>
    <mergeCell ref="C2417:D2417"/>
    <mergeCell ref="E2417:F2417"/>
    <mergeCell ref="G2417:H2417"/>
    <mergeCell ref="E2418:F2418"/>
    <mergeCell ref="G2418:H2418"/>
    <mergeCell ref="C2419:D2419"/>
    <mergeCell ref="E2419:F2419"/>
    <mergeCell ref="G2419:H2419"/>
    <mergeCell ref="G2424:H2424"/>
    <mergeCell ref="I2424:J2424"/>
    <mergeCell ref="C2340:D2340"/>
    <mergeCell ref="E2340:F2340"/>
    <mergeCell ref="G2336:M2336"/>
    <mergeCell ref="C2355:D2355"/>
    <mergeCell ref="E2355:F2355"/>
    <mergeCell ref="G2355:H2355"/>
    <mergeCell ref="G2359:H2359"/>
    <mergeCell ref="I2359:J2359"/>
    <mergeCell ref="K2359:M2359"/>
    <mergeCell ref="C2360:D2360"/>
    <mergeCell ref="E2360:F2360"/>
    <mergeCell ref="G2360:H2360"/>
    <mergeCell ref="I2360:J2360"/>
    <mergeCell ref="K2360:M2360"/>
    <mergeCell ref="C2362:J2362"/>
    <mergeCell ref="D2363:E2363"/>
    <mergeCell ref="C2365:D2365"/>
    <mergeCell ref="C2341:D2341"/>
    <mergeCell ref="E2341:F2341"/>
    <mergeCell ref="C2342:D2342"/>
    <mergeCell ref="E2342:F2342"/>
    <mergeCell ref="E2343:F2343"/>
    <mergeCell ref="C2344:D2344"/>
    <mergeCell ref="E2344:F2344"/>
    <mergeCell ref="E2345:F2345"/>
    <mergeCell ref="C2346:D2346"/>
    <mergeCell ref="E2346:F2346"/>
    <mergeCell ref="E2347:F2347"/>
    <mergeCell ref="E2365:F2365"/>
    <mergeCell ref="G2365:H2365"/>
    <mergeCell ref="I2365:M2365"/>
    <mergeCell ref="C1115:D1115"/>
    <mergeCell ref="E1115:F1115"/>
    <mergeCell ref="G1115:H1115"/>
    <mergeCell ref="C881:D881"/>
    <mergeCell ref="E881:F881"/>
    <mergeCell ref="G881:H881"/>
    <mergeCell ref="I1846:J1846"/>
    <mergeCell ref="K1846:M1846"/>
    <mergeCell ref="B1848:M1848"/>
    <mergeCell ref="C1849:D1849"/>
    <mergeCell ref="E1849:F1849"/>
    <mergeCell ref="G1849:H1849"/>
    <mergeCell ref="I1849:J1849"/>
    <mergeCell ref="K1849:M1849"/>
    <mergeCell ref="C1850:D1850"/>
    <mergeCell ref="E1850:F1850"/>
    <mergeCell ref="G1850:H1850"/>
    <mergeCell ref="I1850:J1850"/>
    <mergeCell ref="K1850:M1850"/>
    <mergeCell ref="C1845:D1845"/>
    <mergeCell ref="I1845:J1845"/>
    <mergeCell ref="K1845:M1845"/>
    <mergeCell ref="C1836:D1836"/>
    <mergeCell ref="E1836:F1836"/>
    <mergeCell ref="G1836:H1836"/>
    <mergeCell ref="C1837:D1837"/>
    <mergeCell ref="E1837:F1837"/>
    <mergeCell ref="G1837:H1837"/>
    <mergeCell ref="C1838:D1838"/>
    <mergeCell ref="E1838:F1838"/>
    <mergeCell ref="G1838:H1838"/>
    <mergeCell ref="C1840:D1840"/>
    <mergeCell ref="E1840:F1840"/>
    <mergeCell ref="G1840:H1840"/>
    <mergeCell ref="C1842:D1842"/>
    <mergeCell ref="E1842:F1842"/>
    <mergeCell ref="G1842:H1842"/>
    <mergeCell ref="C1846:D1846"/>
    <mergeCell ref="E1846:F1846"/>
    <mergeCell ref="G1846:H1846"/>
    <mergeCell ref="E1845:F1845"/>
    <mergeCell ref="G1845:H1845"/>
    <mergeCell ref="C1827:D1827"/>
    <mergeCell ref="E1827:F1827"/>
    <mergeCell ref="G1827:H1827"/>
    <mergeCell ref="C1828:D1828"/>
    <mergeCell ref="E1828:F1828"/>
    <mergeCell ref="G1828:H1828"/>
    <mergeCell ref="C1829:D1829"/>
    <mergeCell ref="E1829:F1829"/>
    <mergeCell ref="G1829:H1829"/>
    <mergeCell ref="C1830:D1830"/>
    <mergeCell ref="E1830:F1830"/>
    <mergeCell ref="G1830:H1830"/>
    <mergeCell ref="C1832:D1832"/>
    <mergeCell ref="E1832:F1832"/>
    <mergeCell ref="G1832:H1832"/>
    <mergeCell ref="C1834:D1834"/>
    <mergeCell ref="E1834:F1834"/>
    <mergeCell ref="G1834:H1834"/>
    <mergeCell ref="D1818:E1818"/>
    <mergeCell ref="C1820:D1820"/>
    <mergeCell ref="E1820:F1820"/>
    <mergeCell ref="G1820:H1820"/>
    <mergeCell ref="C1821:D1821"/>
    <mergeCell ref="E1821:F1821"/>
    <mergeCell ref="G1821:H1821"/>
    <mergeCell ref="C1822:D1822"/>
    <mergeCell ref="E1822:F1822"/>
    <mergeCell ref="G1822:H1822"/>
    <mergeCell ref="C1824:D1824"/>
    <mergeCell ref="E1824:F1824"/>
    <mergeCell ref="G1824:H1824"/>
    <mergeCell ref="C1825:D1825"/>
    <mergeCell ref="E1825:F1825"/>
    <mergeCell ref="G1825:H1825"/>
    <mergeCell ref="C1826:D1826"/>
    <mergeCell ref="E1826:F1826"/>
    <mergeCell ref="G1826:H1826"/>
    <mergeCell ref="C1815:D1815"/>
    <mergeCell ref="E1815:F1815"/>
    <mergeCell ref="G1815:H1815"/>
    <mergeCell ref="I1815:J1815"/>
    <mergeCell ref="K1815:M1815"/>
    <mergeCell ref="C1786:D1786"/>
    <mergeCell ref="C1801:D1801"/>
    <mergeCell ref="C1803:D1803"/>
    <mergeCell ref="C1805:D1805"/>
    <mergeCell ref="C1807:D1807"/>
    <mergeCell ref="E1786:F1786"/>
    <mergeCell ref="E1801:F1801"/>
    <mergeCell ref="E1803:F1803"/>
    <mergeCell ref="E1805:F1805"/>
    <mergeCell ref="E1807:F1807"/>
    <mergeCell ref="G1786:H1786"/>
    <mergeCell ref="G1801:H1801"/>
    <mergeCell ref="G1803:H1803"/>
    <mergeCell ref="G1805:H1805"/>
    <mergeCell ref="G1807:H1807"/>
    <mergeCell ref="B1809:M1809"/>
    <mergeCell ref="C1810:D1810"/>
    <mergeCell ref="E1810:F1810"/>
    <mergeCell ref="G1810:H1810"/>
    <mergeCell ref="I1810:J1810"/>
    <mergeCell ref="K1810:M1810"/>
    <mergeCell ref="C1811:D1811"/>
    <mergeCell ref="E1811:F1811"/>
    <mergeCell ref="G1811:H1811"/>
    <mergeCell ref="I1811:J1811"/>
    <mergeCell ref="K1811:M1811"/>
    <mergeCell ref="B1813:M1813"/>
    <mergeCell ref="C1814:D1814"/>
    <mergeCell ref="E1814:F1814"/>
    <mergeCell ref="G1814:H1814"/>
    <mergeCell ref="I1814:J1814"/>
    <mergeCell ref="K1814:M1814"/>
    <mergeCell ref="C1791:D1791"/>
    <mergeCell ref="E1791:F1791"/>
    <mergeCell ref="G1791:H1791"/>
    <mergeCell ref="C1793:D1793"/>
    <mergeCell ref="E1793:F1793"/>
    <mergeCell ref="G1793:H1793"/>
    <mergeCell ref="C1794:D1794"/>
    <mergeCell ref="E1794:F1794"/>
    <mergeCell ref="G1794:H1794"/>
    <mergeCell ref="C1795:D1795"/>
    <mergeCell ref="E1795:F1795"/>
    <mergeCell ref="G1795:H1795"/>
    <mergeCell ref="C1797:D1797"/>
    <mergeCell ref="E1797:F1797"/>
    <mergeCell ref="G1797:H1797"/>
    <mergeCell ref="C1799:D1799"/>
    <mergeCell ref="E1799:F1799"/>
    <mergeCell ref="G1799:H1799"/>
    <mergeCell ref="C1782:D1782"/>
    <mergeCell ref="E1782:F1782"/>
    <mergeCell ref="G1782:H1782"/>
    <mergeCell ref="C1783:D1783"/>
    <mergeCell ref="E1783:F1783"/>
    <mergeCell ref="G1783:H1783"/>
    <mergeCell ref="C1784:D1784"/>
    <mergeCell ref="E1784:F1784"/>
    <mergeCell ref="G1784:H1784"/>
    <mergeCell ref="C1785:D1785"/>
    <mergeCell ref="E1785:F1785"/>
    <mergeCell ref="G1785:H1785"/>
    <mergeCell ref="C1787:D1787"/>
    <mergeCell ref="E1787:F1787"/>
    <mergeCell ref="G1787:H1787"/>
    <mergeCell ref="C1789:D1789"/>
    <mergeCell ref="E1789:F1789"/>
    <mergeCell ref="G1789:H1789"/>
    <mergeCell ref="C1772:D1772"/>
    <mergeCell ref="E1772:F1772"/>
    <mergeCell ref="G1772:H1772"/>
    <mergeCell ref="I1772:J1772"/>
    <mergeCell ref="K1772:M1772"/>
    <mergeCell ref="D1775:E1775"/>
    <mergeCell ref="C1777:D1777"/>
    <mergeCell ref="E1777:F1777"/>
    <mergeCell ref="G1777:H1777"/>
    <mergeCell ref="I1777:M1777"/>
    <mergeCell ref="C1778:D1778"/>
    <mergeCell ref="E1778:F1778"/>
    <mergeCell ref="G1778:H1778"/>
    <mergeCell ref="C1779:D1779"/>
    <mergeCell ref="E1779:F1779"/>
    <mergeCell ref="G1779:H1779"/>
    <mergeCell ref="C1781:D1781"/>
    <mergeCell ref="E1781:F1781"/>
    <mergeCell ref="G1781:H1781"/>
    <mergeCell ref="B1766:M1766"/>
    <mergeCell ref="C1767:D1767"/>
    <mergeCell ref="E1767:F1767"/>
    <mergeCell ref="G1767:H1767"/>
    <mergeCell ref="I1767:J1767"/>
    <mergeCell ref="K1767:M1767"/>
    <mergeCell ref="C1768:D1768"/>
    <mergeCell ref="E1768:F1768"/>
    <mergeCell ref="G1768:H1768"/>
    <mergeCell ref="I1768:J1768"/>
    <mergeCell ref="K1768:M1768"/>
    <mergeCell ref="B1770:M1770"/>
    <mergeCell ref="C1771:D1771"/>
    <mergeCell ref="E1771:F1771"/>
    <mergeCell ref="G1771:H1771"/>
    <mergeCell ref="I1771:J1771"/>
    <mergeCell ref="K1771:M1771"/>
    <mergeCell ref="C1749:D1749"/>
    <mergeCell ref="E1749:F1749"/>
    <mergeCell ref="G1749:H1749"/>
    <mergeCell ref="C1750:D1750"/>
    <mergeCell ref="E1750:F1750"/>
    <mergeCell ref="G1750:H1750"/>
    <mergeCell ref="C1738:D1738"/>
    <mergeCell ref="E1738:F1738"/>
    <mergeCell ref="G1738:H1738"/>
    <mergeCell ref="I1738:J1738"/>
    <mergeCell ref="K1738:M1738"/>
    <mergeCell ref="C1740:D1740"/>
    <mergeCell ref="E1740:F1740"/>
    <mergeCell ref="G1740:H1740"/>
    <mergeCell ref="I1740:J1740"/>
    <mergeCell ref="K1740:M1740"/>
    <mergeCell ref="D1743:E1743"/>
    <mergeCell ref="C1745:D1745"/>
    <mergeCell ref="E1745:F1745"/>
    <mergeCell ref="G1745:H1745"/>
    <mergeCell ref="I1745:M1745"/>
    <mergeCell ref="C1746:D1746"/>
    <mergeCell ref="E1746:F1746"/>
    <mergeCell ref="G1746:H1746"/>
    <mergeCell ref="C1739:D1739"/>
    <mergeCell ref="E1739:F1739"/>
    <mergeCell ref="G1739:H1739"/>
    <mergeCell ref="I1739:J1739"/>
    <mergeCell ref="K1739:M1739"/>
    <mergeCell ref="B1733:M1733"/>
    <mergeCell ref="C1734:D1734"/>
    <mergeCell ref="E1734:F1734"/>
    <mergeCell ref="G1734:H1734"/>
    <mergeCell ref="I1734:J1734"/>
    <mergeCell ref="K1734:M1734"/>
    <mergeCell ref="C1735:D1735"/>
    <mergeCell ref="E1735:F1735"/>
    <mergeCell ref="G1735:H1735"/>
    <mergeCell ref="I1735:J1735"/>
    <mergeCell ref="K1735:M1735"/>
    <mergeCell ref="C1747:D1747"/>
    <mergeCell ref="E1747:F1747"/>
    <mergeCell ref="G1747:H1747"/>
    <mergeCell ref="C1729:D1729"/>
    <mergeCell ref="E1729:F1729"/>
    <mergeCell ref="G1729:H1729"/>
    <mergeCell ref="C1731:D1731"/>
    <mergeCell ref="E1731:F1731"/>
    <mergeCell ref="G1731:H1731"/>
    <mergeCell ref="C1719:D1719"/>
    <mergeCell ref="E1719:F1719"/>
    <mergeCell ref="G1719:H1719"/>
    <mergeCell ref="C1721:D1721"/>
    <mergeCell ref="E1721:F1721"/>
    <mergeCell ref="G1721:H1721"/>
    <mergeCell ref="C1723:D1723"/>
    <mergeCell ref="E1723:F1723"/>
    <mergeCell ref="G1723:H1723"/>
    <mergeCell ref="C1725:D1725"/>
    <mergeCell ref="E1725:F1725"/>
    <mergeCell ref="G1725:H1725"/>
    <mergeCell ref="C1726:D1726"/>
    <mergeCell ref="E1726:F1726"/>
    <mergeCell ref="G1726:H1726"/>
    <mergeCell ref="C1727:D1727"/>
    <mergeCell ref="E1727:F1727"/>
    <mergeCell ref="G1727:H1727"/>
    <mergeCell ref="C1711:D1711"/>
    <mergeCell ref="E1711:F1711"/>
    <mergeCell ref="G1711:H1711"/>
    <mergeCell ref="C1713:D1713"/>
    <mergeCell ref="E1713:F1713"/>
    <mergeCell ref="G1713:H1713"/>
    <mergeCell ref="C1714:D1714"/>
    <mergeCell ref="E1714:F1714"/>
    <mergeCell ref="G1714:H1714"/>
    <mergeCell ref="C1715:D1715"/>
    <mergeCell ref="E1715:F1715"/>
    <mergeCell ref="G1715:H1715"/>
    <mergeCell ref="C1716:D1716"/>
    <mergeCell ref="E1716:F1716"/>
    <mergeCell ref="G1716:H1716"/>
    <mergeCell ref="C1717:D1717"/>
    <mergeCell ref="E1717:F1717"/>
    <mergeCell ref="G1717:H1717"/>
    <mergeCell ref="B1701:M1701"/>
    <mergeCell ref="C1702:D1702"/>
    <mergeCell ref="E1702:F1702"/>
    <mergeCell ref="G1702:H1702"/>
    <mergeCell ref="I1702:J1702"/>
    <mergeCell ref="K1702:M1702"/>
    <mergeCell ref="C1704:D1704"/>
    <mergeCell ref="E1704:F1704"/>
    <mergeCell ref="G1704:H1704"/>
    <mergeCell ref="I1704:J1704"/>
    <mergeCell ref="K1704:M1704"/>
    <mergeCell ref="D1707:E1707"/>
    <mergeCell ref="C1709:D1709"/>
    <mergeCell ref="E1709:F1709"/>
    <mergeCell ref="G1709:H1709"/>
    <mergeCell ref="I1709:M1709"/>
    <mergeCell ref="C1710:D1710"/>
    <mergeCell ref="E1710:F1710"/>
    <mergeCell ref="G1710:H1710"/>
    <mergeCell ref="C1703:D1703"/>
    <mergeCell ref="E1703:F1703"/>
    <mergeCell ref="G1703:H1703"/>
    <mergeCell ref="I1703:J1703"/>
    <mergeCell ref="K1703:M1703"/>
    <mergeCell ref="B1697:M1697"/>
    <mergeCell ref="C1698:D1698"/>
    <mergeCell ref="E1698:F1698"/>
    <mergeCell ref="G1698:H1698"/>
    <mergeCell ref="I1698:J1698"/>
    <mergeCell ref="K1698:M1698"/>
    <mergeCell ref="C1699:D1699"/>
    <mergeCell ref="E1699:F1699"/>
    <mergeCell ref="G1699:H1699"/>
    <mergeCell ref="I1699:J1699"/>
    <mergeCell ref="K1699:M1699"/>
    <mergeCell ref="C1691:D1691"/>
    <mergeCell ref="E1691:F1691"/>
    <mergeCell ref="G1691:H1691"/>
    <mergeCell ref="C1693:D1693"/>
    <mergeCell ref="E1693:F1693"/>
    <mergeCell ref="G1693:H1693"/>
    <mergeCell ref="C1695:D1695"/>
    <mergeCell ref="E1695:F1695"/>
    <mergeCell ref="G1695:H1695"/>
    <mergeCell ref="C1681:D1681"/>
    <mergeCell ref="E1681:F1681"/>
    <mergeCell ref="G1681:H1681"/>
    <mergeCell ref="C1683:D1683"/>
    <mergeCell ref="E1683:F1683"/>
    <mergeCell ref="G1683:H1683"/>
    <mergeCell ref="C1685:D1685"/>
    <mergeCell ref="E1685:F1685"/>
    <mergeCell ref="G1685:H1685"/>
    <mergeCell ref="C1687:D1687"/>
    <mergeCell ref="E1687:F1687"/>
    <mergeCell ref="G1687:H1687"/>
    <mergeCell ref="C1689:D1689"/>
    <mergeCell ref="E1689:F1689"/>
    <mergeCell ref="G1689:H1689"/>
    <mergeCell ref="C1671:D1671"/>
    <mergeCell ref="E1671:F1671"/>
    <mergeCell ref="G1671:H1671"/>
    <mergeCell ref="G1672:H1672"/>
    <mergeCell ref="C1673:D1673"/>
    <mergeCell ref="E1673:F1673"/>
    <mergeCell ref="G1673:H1673"/>
    <mergeCell ref="C1675:D1675"/>
    <mergeCell ref="E1675:F1675"/>
    <mergeCell ref="G1675:H1675"/>
    <mergeCell ref="C1677:D1677"/>
    <mergeCell ref="E1677:F1677"/>
    <mergeCell ref="G1677:H1677"/>
    <mergeCell ref="C1678:D1678"/>
    <mergeCell ref="E1678:F1678"/>
    <mergeCell ref="C1679:D1679"/>
    <mergeCell ref="E1679:F1679"/>
    <mergeCell ref="G1679:H1679"/>
    <mergeCell ref="D1663:E1663"/>
    <mergeCell ref="C1665:D1665"/>
    <mergeCell ref="E1665:F1665"/>
    <mergeCell ref="G1665:H1665"/>
    <mergeCell ref="C1666:D1666"/>
    <mergeCell ref="E1666:F1666"/>
    <mergeCell ref="G1666:H1666"/>
    <mergeCell ref="C1667:D1667"/>
    <mergeCell ref="E1667:F1667"/>
    <mergeCell ref="G1667:H1667"/>
    <mergeCell ref="C1669:D1669"/>
    <mergeCell ref="E1669:F1669"/>
    <mergeCell ref="G1669:H1669"/>
    <mergeCell ref="C1670:D1670"/>
    <mergeCell ref="E1670:F1670"/>
    <mergeCell ref="G1670:H1670"/>
    <mergeCell ref="C1656:D1656"/>
    <mergeCell ref="E1656:F1656"/>
    <mergeCell ref="G1656:H1656"/>
    <mergeCell ref="I1656:J1656"/>
    <mergeCell ref="K1656:M1656"/>
    <mergeCell ref="B1658:M1658"/>
    <mergeCell ref="C1659:D1659"/>
    <mergeCell ref="E1659:F1659"/>
    <mergeCell ref="G1659:H1659"/>
    <mergeCell ref="I1659:J1659"/>
    <mergeCell ref="K1659:M1659"/>
    <mergeCell ref="C1660:D1660"/>
    <mergeCell ref="E1660:F1660"/>
    <mergeCell ref="G1660:H1660"/>
    <mergeCell ref="I1660:J1660"/>
    <mergeCell ref="K1660:M1660"/>
    <mergeCell ref="C1627:D1627"/>
    <mergeCell ref="C1635:D1635"/>
    <mergeCell ref="E1627:F1627"/>
    <mergeCell ref="E1635:F1635"/>
    <mergeCell ref="C1652:D1652"/>
    <mergeCell ref="E1652:F1652"/>
    <mergeCell ref="G1652:H1652"/>
    <mergeCell ref="B1654:M1654"/>
    <mergeCell ref="C1655:D1655"/>
    <mergeCell ref="E1655:F1655"/>
    <mergeCell ref="G1655:H1655"/>
    <mergeCell ref="I1655:J1655"/>
    <mergeCell ref="K1655:M1655"/>
    <mergeCell ref="C1640:D1640"/>
    <mergeCell ref="E1640:F1640"/>
    <mergeCell ref="G1640:H1640"/>
    <mergeCell ref="C1642:D1642"/>
    <mergeCell ref="E1642:F1642"/>
    <mergeCell ref="G1642:H1642"/>
    <mergeCell ref="C1644:D1644"/>
    <mergeCell ref="E1644:F1644"/>
    <mergeCell ref="G1644:H1644"/>
    <mergeCell ref="C1646:D1646"/>
    <mergeCell ref="E1646:F1646"/>
    <mergeCell ref="G1646:H1646"/>
    <mergeCell ref="C1648:D1648"/>
    <mergeCell ref="E1648:F1648"/>
    <mergeCell ref="G1648:H1648"/>
    <mergeCell ref="C1650:D1650"/>
    <mergeCell ref="E1650:F1650"/>
    <mergeCell ref="G1650:H1650"/>
    <mergeCell ref="G1631:H1631"/>
    <mergeCell ref="C1632:D1632"/>
    <mergeCell ref="E1632:F1632"/>
    <mergeCell ref="G1632:H1632"/>
    <mergeCell ref="C1634:D1634"/>
    <mergeCell ref="E1634:F1634"/>
    <mergeCell ref="G1634:H1634"/>
    <mergeCell ref="C1636:D1636"/>
    <mergeCell ref="E1636:F1636"/>
    <mergeCell ref="G1636:H1636"/>
    <mergeCell ref="C1638:D1638"/>
    <mergeCell ref="E1638:F1638"/>
    <mergeCell ref="G1638:H1638"/>
    <mergeCell ref="C1620:D1620"/>
    <mergeCell ref="E1620:F1620"/>
    <mergeCell ref="G1620:H1620"/>
    <mergeCell ref="G1621:H1621"/>
    <mergeCell ref="C1622:D1622"/>
    <mergeCell ref="E1622:F1622"/>
    <mergeCell ref="G1622:H1622"/>
    <mergeCell ref="C1624:D1624"/>
    <mergeCell ref="E1624:F1624"/>
    <mergeCell ref="G1624:H1624"/>
    <mergeCell ref="C1626:D1626"/>
    <mergeCell ref="E1626:F1626"/>
    <mergeCell ref="G1626:H1626"/>
    <mergeCell ref="C1628:D1628"/>
    <mergeCell ref="E1628:F1628"/>
    <mergeCell ref="G1628:H1628"/>
    <mergeCell ref="D1612:E1612"/>
    <mergeCell ref="C1614:D1614"/>
    <mergeCell ref="E1614:F1614"/>
    <mergeCell ref="G1614:H1614"/>
    <mergeCell ref="C1615:D1615"/>
    <mergeCell ref="E1615:F1615"/>
    <mergeCell ref="G1615:H1615"/>
    <mergeCell ref="C1616:D1616"/>
    <mergeCell ref="E1616:F1616"/>
    <mergeCell ref="G1616:H1616"/>
    <mergeCell ref="C1618:D1618"/>
    <mergeCell ref="E1618:F1618"/>
    <mergeCell ref="G1618:H1618"/>
    <mergeCell ref="C1619:D1619"/>
    <mergeCell ref="E1619:F1619"/>
    <mergeCell ref="G1619:H1619"/>
    <mergeCell ref="C1630:D1630"/>
    <mergeCell ref="E1630:F1630"/>
    <mergeCell ref="G1630:H1630"/>
    <mergeCell ref="B1606:M1606"/>
    <mergeCell ref="C1608:D1608"/>
    <mergeCell ref="E1608:F1608"/>
    <mergeCell ref="G1608:H1608"/>
    <mergeCell ref="I1608:J1608"/>
    <mergeCell ref="K1608:M1608"/>
    <mergeCell ref="C1609:D1609"/>
    <mergeCell ref="E1609:F1609"/>
    <mergeCell ref="G1609:H1609"/>
    <mergeCell ref="I1609:J1609"/>
    <mergeCell ref="K1609:M1609"/>
    <mergeCell ref="C1585:D1585"/>
    <mergeCell ref="C1586:D1586"/>
    <mergeCell ref="C1582:D1582"/>
    <mergeCell ref="C1590:D1590"/>
    <mergeCell ref="C1588:D1588"/>
    <mergeCell ref="C1598:D1598"/>
    <mergeCell ref="E1586:F1586"/>
    <mergeCell ref="G1586:H1586"/>
    <mergeCell ref="E1582:F1582"/>
    <mergeCell ref="G1582:H1582"/>
    <mergeCell ref="E1590:F1590"/>
    <mergeCell ref="G1590:H1590"/>
    <mergeCell ref="E1588:F1588"/>
    <mergeCell ref="G1588:H1588"/>
    <mergeCell ref="E1598:F1598"/>
    <mergeCell ref="G1598:H1598"/>
    <mergeCell ref="C1596:D1596"/>
    <mergeCell ref="E1596:F1596"/>
    <mergeCell ref="G1596:H1596"/>
    <mergeCell ref="C1600:D1600"/>
    <mergeCell ref="E1600:F1600"/>
    <mergeCell ref="G1600:H1600"/>
    <mergeCell ref="B1602:M1602"/>
    <mergeCell ref="C1603:D1603"/>
    <mergeCell ref="E1603:F1603"/>
    <mergeCell ref="G1603:H1603"/>
    <mergeCell ref="I1603:J1603"/>
    <mergeCell ref="K1603:M1603"/>
    <mergeCell ref="C1604:D1604"/>
    <mergeCell ref="E1604:F1604"/>
    <mergeCell ref="G1604:H1604"/>
    <mergeCell ref="I1604:J1604"/>
    <mergeCell ref="K1604:M1604"/>
    <mergeCell ref="C1574:D1574"/>
    <mergeCell ref="E1574:F1574"/>
    <mergeCell ref="G1574:H1574"/>
    <mergeCell ref="C1580:D1580"/>
    <mergeCell ref="E1580:F1580"/>
    <mergeCell ref="G1580:H1580"/>
    <mergeCell ref="C1578:D1578"/>
    <mergeCell ref="E1578:F1578"/>
    <mergeCell ref="G1578:H1578"/>
    <mergeCell ref="C1584:D1584"/>
    <mergeCell ref="E1584:F1584"/>
    <mergeCell ref="G1584:H1584"/>
    <mergeCell ref="C1592:D1592"/>
    <mergeCell ref="E1592:F1592"/>
    <mergeCell ref="G1592:H1592"/>
    <mergeCell ref="C1594:D1594"/>
    <mergeCell ref="E1594:F1594"/>
    <mergeCell ref="G1594:H1594"/>
    <mergeCell ref="C1568:D1568"/>
    <mergeCell ref="E1568:F1568"/>
    <mergeCell ref="G1568:H1568"/>
    <mergeCell ref="C1572:D1572"/>
    <mergeCell ref="E1572:F1572"/>
    <mergeCell ref="G1572:H1572"/>
    <mergeCell ref="C1570:D1570"/>
    <mergeCell ref="E1570:F1570"/>
    <mergeCell ref="G1570:H1570"/>
    <mergeCell ref="C1575:D1575"/>
    <mergeCell ref="E1575:F1575"/>
    <mergeCell ref="G1575:H1575"/>
    <mergeCell ref="C1576:D1576"/>
    <mergeCell ref="E1576:F1576"/>
    <mergeCell ref="G1576:H1576"/>
    <mergeCell ref="C1560:D1560"/>
    <mergeCell ref="E1560:F1560"/>
    <mergeCell ref="G1560:H1560"/>
    <mergeCell ref="C1562:D1562"/>
    <mergeCell ref="E1562:F1562"/>
    <mergeCell ref="G1562:H1562"/>
    <mergeCell ref="C1563:D1563"/>
    <mergeCell ref="E1563:F1563"/>
    <mergeCell ref="G1563:H1563"/>
    <mergeCell ref="C1564:D1564"/>
    <mergeCell ref="E1564:F1564"/>
    <mergeCell ref="G1564:H1564"/>
    <mergeCell ref="C1565:D1565"/>
    <mergeCell ref="E1565:F1565"/>
    <mergeCell ref="G1565:H1565"/>
    <mergeCell ref="C1566:D1566"/>
    <mergeCell ref="E1566:F1566"/>
    <mergeCell ref="G1566:H1566"/>
    <mergeCell ref="B1551:M1551"/>
    <mergeCell ref="C1552:D1552"/>
    <mergeCell ref="E1552:F1552"/>
    <mergeCell ref="G1552:H1552"/>
    <mergeCell ref="I1552:J1552"/>
    <mergeCell ref="K1552:M1552"/>
    <mergeCell ref="C1553:D1553"/>
    <mergeCell ref="E1553:F1553"/>
    <mergeCell ref="G1553:H1553"/>
    <mergeCell ref="I1553:J1553"/>
    <mergeCell ref="K1553:M1553"/>
    <mergeCell ref="D1556:E1556"/>
    <mergeCell ref="C1558:D1558"/>
    <mergeCell ref="E1558:F1558"/>
    <mergeCell ref="G1558:H1558"/>
    <mergeCell ref="I1558:M1558"/>
    <mergeCell ref="C1559:D1559"/>
    <mergeCell ref="E1559:F1559"/>
    <mergeCell ref="G1559:H1559"/>
    <mergeCell ref="B1547:M1547"/>
    <mergeCell ref="C1548:D1548"/>
    <mergeCell ref="E1548:F1548"/>
    <mergeCell ref="G1548:H1548"/>
    <mergeCell ref="I1548:J1548"/>
    <mergeCell ref="K1548:M1548"/>
    <mergeCell ref="C1549:D1549"/>
    <mergeCell ref="E1549:F1549"/>
    <mergeCell ref="G1549:H1549"/>
    <mergeCell ref="I1549:J1549"/>
    <mergeCell ref="K1549:M1549"/>
    <mergeCell ref="E1539:F1539"/>
    <mergeCell ref="G1539:H1539"/>
    <mergeCell ref="C1540:D1540"/>
    <mergeCell ref="E1540:F1540"/>
    <mergeCell ref="G1540:H1540"/>
    <mergeCell ref="C1541:D1541"/>
    <mergeCell ref="E1541:F1541"/>
    <mergeCell ref="G1541:H1541"/>
    <mergeCell ref="C1543:D1543"/>
    <mergeCell ref="E1543:F1543"/>
    <mergeCell ref="G1543:H1543"/>
    <mergeCell ref="C1545:D1545"/>
    <mergeCell ref="E1545:F1545"/>
    <mergeCell ref="G1545:H1545"/>
    <mergeCell ref="E1523:F1523"/>
    <mergeCell ref="G1523:H1523"/>
    <mergeCell ref="I1523:J1523"/>
    <mergeCell ref="K1523:M1523"/>
    <mergeCell ref="C1533:D1533"/>
    <mergeCell ref="E1533:F1533"/>
    <mergeCell ref="G1533:H1533"/>
    <mergeCell ref="I1533:M1533"/>
    <mergeCell ref="C1535:D1535"/>
    <mergeCell ref="E1535:F1535"/>
    <mergeCell ref="G1535:H1535"/>
    <mergeCell ref="C1537:D1537"/>
    <mergeCell ref="E1537:F1537"/>
    <mergeCell ref="G1537:H1537"/>
    <mergeCell ref="C1524:D1524"/>
    <mergeCell ref="E1524:F1524"/>
    <mergeCell ref="G1524:H1524"/>
    <mergeCell ref="I1524:J1524"/>
    <mergeCell ref="K1524:M1524"/>
    <mergeCell ref="B1526:M1526"/>
    <mergeCell ref="C1527:D1527"/>
    <mergeCell ref="E1527:F1527"/>
    <mergeCell ref="G1527:H1527"/>
    <mergeCell ref="I1527:J1527"/>
    <mergeCell ref="K1527:M1527"/>
    <mergeCell ref="C1528:D1528"/>
    <mergeCell ref="E1528:F1528"/>
    <mergeCell ref="G1528:H1528"/>
    <mergeCell ref="I1528:J1528"/>
    <mergeCell ref="K1528:M1528"/>
    <mergeCell ref="D1531:E1531"/>
    <mergeCell ref="C1538:D1538"/>
    <mergeCell ref="E1538:F1538"/>
    <mergeCell ref="G1538:H1538"/>
    <mergeCell ref="C1539:D1539"/>
    <mergeCell ref="C1519:D1519"/>
    <mergeCell ref="E1519:F1519"/>
    <mergeCell ref="G1519:H1519"/>
    <mergeCell ref="C1520:D1520"/>
    <mergeCell ref="E1520:F1520"/>
    <mergeCell ref="G1520:H1520"/>
    <mergeCell ref="C1509:D1509"/>
    <mergeCell ref="E1509:F1509"/>
    <mergeCell ref="G1509:H1509"/>
    <mergeCell ref="C1510:D1510"/>
    <mergeCell ref="E1510:F1510"/>
    <mergeCell ref="G1510:H1510"/>
    <mergeCell ref="C1512:D1512"/>
    <mergeCell ref="E1512:F1512"/>
    <mergeCell ref="G1512:H1512"/>
    <mergeCell ref="C1514:D1514"/>
    <mergeCell ref="E1514:F1514"/>
    <mergeCell ref="G1514:H1514"/>
    <mergeCell ref="C1516:D1516"/>
    <mergeCell ref="E1516:F1516"/>
    <mergeCell ref="G1516:H1516"/>
    <mergeCell ref="C1518:D1518"/>
    <mergeCell ref="E1518:F1518"/>
    <mergeCell ref="G1518:H1518"/>
    <mergeCell ref="C1534:D1534"/>
    <mergeCell ref="E1534:F1534"/>
    <mergeCell ref="G1534:H1534"/>
    <mergeCell ref="C1523:D1523"/>
    <mergeCell ref="C1502:D1502"/>
    <mergeCell ref="E1502:F1502"/>
    <mergeCell ref="G1502:H1502"/>
    <mergeCell ref="C1503:D1503"/>
    <mergeCell ref="E1503:F1503"/>
    <mergeCell ref="G1503:H1503"/>
    <mergeCell ref="C1504:D1504"/>
    <mergeCell ref="E1504:F1504"/>
    <mergeCell ref="G1504:H1504"/>
    <mergeCell ref="C1506:D1506"/>
    <mergeCell ref="E1506:F1506"/>
    <mergeCell ref="G1506:H1506"/>
    <mergeCell ref="C1507:D1507"/>
    <mergeCell ref="E1507:F1507"/>
    <mergeCell ref="G1507:H1507"/>
    <mergeCell ref="C1508:D1508"/>
    <mergeCell ref="E1508:F1508"/>
    <mergeCell ref="G1508:H1508"/>
    <mergeCell ref="C1492:D1492"/>
    <mergeCell ref="E1492:F1492"/>
    <mergeCell ref="G1492:H1492"/>
    <mergeCell ref="I1492:J1492"/>
    <mergeCell ref="K1492:M1492"/>
    <mergeCell ref="B1494:M1494"/>
    <mergeCell ref="C1495:D1495"/>
    <mergeCell ref="E1495:F1495"/>
    <mergeCell ref="G1495:H1495"/>
    <mergeCell ref="I1495:J1495"/>
    <mergeCell ref="K1495:M1495"/>
    <mergeCell ref="C1497:D1497"/>
    <mergeCell ref="E1497:F1497"/>
    <mergeCell ref="G1497:H1497"/>
    <mergeCell ref="I1497:J1497"/>
    <mergeCell ref="K1497:M1497"/>
    <mergeCell ref="D1500:E1500"/>
    <mergeCell ref="C1496:D1496"/>
    <mergeCell ref="E1496:F1496"/>
    <mergeCell ref="G1496:H1496"/>
    <mergeCell ref="I1496:J1496"/>
    <mergeCell ref="K1496:M1496"/>
    <mergeCell ref="C1482:D1482"/>
    <mergeCell ref="E1482:F1482"/>
    <mergeCell ref="G1482:H1482"/>
    <mergeCell ref="C1484:D1484"/>
    <mergeCell ref="E1484:F1484"/>
    <mergeCell ref="G1484:H1484"/>
    <mergeCell ref="C1486:D1486"/>
    <mergeCell ref="E1486:F1486"/>
    <mergeCell ref="G1486:H1486"/>
    <mergeCell ref="C1488:D1488"/>
    <mergeCell ref="E1488:F1488"/>
    <mergeCell ref="G1488:H1488"/>
    <mergeCell ref="B1490:M1490"/>
    <mergeCell ref="C1491:D1491"/>
    <mergeCell ref="E1491:F1491"/>
    <mergeCell ref="G1491:H1491"/>
    <mergeCell ref="I1491:J1491"/>
    <mergeCell ref="K1491:M1491"/>
    <mergeCell ref="C1471:D1471"/>
    <mergeCell ref="E1471:F1471"/>
    <mergeCell ref="G1471:H1471"/>
    <mergeCell ref="C1472:D1472"/>
    <mergeCell ref="E1472:F1472"/>
    <mergeCell ref="G1472:H1472"/>
    <mergeCell ref="C1474:D1474"/>
    <mergeCell ref="E1474:F1474"/>
    <mergeCell ref="G1474:H1474"/>
    <mergeCell ref="C1476:D1476"/>
    <mergeCell ref="E1476:F1476"/>
    <mergeCell ref="G1476:H1476"/>
    <mergeCell ref="C1478:D1478"/>
    <mergeCell ref="E1478:F1478"/>
    <mergeCell ref="G1478:H1478"/>
    <mergeCell ref="C1480:D1480"/>
    <mergeCell ref="E1480:F1480"/>
    <mergeCell ref="G1480:H1480"/>
    <mergeCell ref="C1461:D1461"/>
    <mergeCell ref="E1461:F1461"/>
    <mergeCell ref="G1461:H1461"/>
    <mergeCell ref="C1462:D1462"/>
    <mergeCell ref="E1462:F1462"/>
    <mergeCell ref="G1462:H1462"/>
    <mergeCell ref="C1464:D1464"/>
    <mergeCell ref="E1464:F1464"/>
    <mergeCell ref="G1464:H1464"/>
    <mergeCell ref="C1466:D1466"/>
    <mergeCell ref="E1466:F1466"/>
    <mergeCell ref="G1466:H1466"/>
    <mergeCell ref="C1468:D1468"/>
    <mergeCell ref="E1468:F1468"/>
    <mergeCell ref="G1468:H1468"/>
    <mergeCell ref="C1470:D1470"/>
    <mergeCell ref="E1470:F1470"/>
    <mergeCell ref="G1470:H1470"/>
    <mergeCell ref="D1452:E1452"/>
    <mergeCell ref="C1454:D1454"/>
    <mergeCell ref="E1454:F1454"/>
    <mergeCell ref="G1454:H1454"/>
    <mergeCell ref="C1455:D1455"/>
    <mergeCell ref="E1455:F1455"/>
    <mergeCell ref="G1455:H1455"/>
    <mergeCell ref="C1456:D1456"/>
    <mergeCell ref="E1456:F1456"/>
    <mergeCell ref="G1456:H1456"/>
    <mergeCell ref="C1458:D1458"/>
    <mergeCell ref="E1458:F1458"/>
    <mergeCell ref="G1458:H1458"/>
    <mergeCell ref="C1459:D1459"/>
    <mergeCell ref="E1459:F1459"/>
    <mergeCell ref="G1459:H1459"/>
    <mergeCell ref="C1460:D1460"/>
    <mergeCell ref="E1460:F1460"/>
    <mergeCell ref="G1460:H1460"/>
    <mergeCell ref="C1449:D1449"/>
    <mergeCell ref="E1449:F1449"/>
    <mergeCell ref="G1449:H1449"/>
    <mergeCell ref="I1449:J1449"/>
    <mergeCell ref="K1449:M1449"/>
    <mergeCell ref="C1437:D1437"/>
    <mergeCell ref="C1435:D1435"/>
    <mergeCell ref="E1437:F1437"/>
    <mergeCell ref="G1437:H1437"/>
    <mergeCell ref="E1435:F1435"/>
    <mergeCell ref="G1435:H1435"/>
    <mergeCell ref="C1441:D1441"/>
    <mergeCell ref="E1441:F1441"/>
    <mergeCell ref="G1441:H1441"/>
    <mergeCell ref="C1439:D1439"/>
    <mergeCell ref="E1439:F1439"/>
    <mergeCell ref="G1439:H1439"/>
    <mergeCell ref="B1443:M1443"/>
    <mergeCell ref="C1444:D1444"/>
    <mergeCell ref="E1444:F1444"/>
    <mergeCell ref="G1444:H1444"/>
    <mergeCell ref="I1444:J1444"/>
    <mergeCell ref="K1444:M1444"/>
    <mergeCell ref="C1445:D1445"/>
    <mergeCell ref="E1445:F1445"/>
    <mergeCell ref="G1445:H1445"/>
    <mergeCell ref="I1445:J1445"/>
    <mergeCell ref="K1445:M1445"/>
    <mergeCell ref="B1447:M1447"/>
    <mergeCell ref="C1448:D1448"/>
    <mergeCell ref="E1448:F1448"/>
    <mergeCell ref="G1448:H1448"/>
    <mergeCell ref="I1448:J1448"/>
    <mergeCell ref="K1448:M1448"/>
    <mergeCell ref="C1425:D1425"/>
    <mergeCell ref="E1425:F1425"/>
    <mergeCell ref="G1425:H1425"/>
    <mergeCell ref="C1427:D1427"/>
    <mergeCell ref="E1427:F1427"/>
    <mergeCell ref="G1427:H1427"/>
    <mergeCell ref="C1428:D1428"/>
    <mergeCell ref="E1428:F1428"/>
    <mergeCell ref="G1428:H1428"/>
    <mergeCell ref="C1429:D1429"/>
    <mergeCell ref="E1429:F1429"/>
    <mergeCell ref="G1429:H1429"/>
    <mergeCell ref="C1431:D1431"/>
    <mergeCell ref="E1431:F1431"/>
    <mergeCell ref="G1431:H1431"/>
    <mergeCell ref="C1433:D1433"/>
    <mergeCell ref="E1433:F1433"/>
    <mergeCell ref="G1433:H1433"/>
    <mergeCell ref="C1416:D1416"/>
    <mergeCell ref="E1416:F1416"/>
    <mergeCell ref="G1416:H1416"/>
    <mergeCell ref="C1417:D1417"/>
    <mergeCell ref="E1417:F1417"/>
    <mergeCell ref="G1417:H1417"/>
    <mergeCell ref="C1418:D1418"/>
    <mergeCell ref="E1418:F1418"/>
    <mergeCell ref="G1418:H1418"/>
    <mergeCell ref="C1419:D1419"/>
    <mergeCell ref="E1419:F1419"/>
    <mergeCell ref="G1419:H1419"/>
    <mergeCell ref="C1421:D1421"/>
    <mergeCell ref="E1421:F1421"/>
    <mergeCell ref="G1421:H1421"/>
    <mergeCell ref="C1423:D1423"/>
    <mergeCell ref="E1423:F1423"/>
    <mergeCell ref="G1423:H1423"/>
    <mergeCell ref="E1404:F1404"/>
    <mergeCell ref="G1404:H1404"/>
    <mergeCell ref="I1404:J1404"/>
    <mergeCell ref="K1404:M1404"/>
    <mergeCell ref="C1406:D1406"/>
    <mergeCell ref="E1406:F1406"/>
    <mergeCell ref="G1406:H1406"/>
    <mergeCell ref="I1406:J1406"/>
    <mergeCell ref="K1406:M1406"/>
    <mergeCell ref="D1409:E1409"/>
    <mergeCell ref="C1412:D1412"/>
    <mergeCell ref="E1412:F1412"/>
    <mergeCell ref="G1412:H1412"/>
    <mergeCell ref="C1413:D1413"/>
    <mergeCell ref="E1413:F1413"/>
    <mergeCell ref="G1413:H1413"/>
    <mergeCell ref="C1415:D1415"/>
    <mergeCell ref="E1415:F1415"/>
    <mergeCell ref="G1415:H1415"/>
    <mergeCell ref="C1405:D1405"/>
    <mergeCell ref="E1405:F1405"/>
    <mergeCell ref="G1405:H1405"/>
    <mergeCell ref="I1405:J1405"/>
    <mergeCell ref="K1405:M1405"/>
    <mergeCell ref="B1399:M1399"/>
    <mergeCell ref="C1400:D1400"/>
    <mergeCell ref="E1400:F1400"/>
    <mergeCell ref="G1400:H1400"/>
    <mergeCell ref="I1400:J1400"/>
    <mergeCell ref="K1400:M1400"/>
    <mergeCell ref="C1411:D1411"/>
    <mergeCell ref="E1411:F1411"/>
    <mergeCell ref="G1411:H1411"/>
    <mergeCell ref="I1411:M1411"/>
    <mergeCell ref="C1390:D1390"/>
    <mergeCell ref="E1390:F1390"/>
    <mergeCell ref="G1390:H1390"/>
    <mergeCell ref="C1391:D1391"/>
    <mergeCell ref="E1391:F1391"/>
    <mergeCell ref="G1391:H1391"/>
    <mergeCell ref="C1393:D1393"/>
    <mergeCell ref="E1393:F1393"/>
    <mergeCell ref="G1393:H1393"/>
    <mergeCell ref="C1395:D1395"/>
    <mergeCell ref="E1395:F1395"/>
    <mergeCell ref="G1395:H1395"/>
    <mergeCell ref="C1397:D1397"/>
    <mergeCell ref="E1397:F1397"/>
    <mergeCell ref="G1397:H1397"/>
    <mergeCell ref="C1401:D1401"/>
    <mergeCell ref="E1401:F1401"/>
    <mergeCell ref="G1401:H1401"/>
    <mergeCell ref="I1401:J1401"/>
    <mergeCell ref="K1401:M1401"/>
    <mergeCell ref="B1403:M1403"/>
    <mergeCell ref="C1404:D1404"/>
    <mergeCell ref="C1380:D1380"/>
    <mergeCell ref="E1380:F1380"/>
    <mergeCell ref="G1380:H1380"/>
    <mergeCell ref="C1381:D1381"/>
    <mergeCell ref="E1381:F1381"/>
    <mergeCell ref="G1381:H1381"/>
    <mergeCell ref="C1383:D1383"/>
    <mergeCell ref="E1383:F1383"/>
    <mergeCell ref="G1383:H1383"/>
    <mergeCell ref="C1385:D1385"/>
    <mergeCell ref="E1385:F1385"/>
    <mergeCell ref="G1385:H1385"/>
    <mergeCell ref="C1387:D1387"/>
    <mergeCell ref="E1387:F1387"/>
    <mergeCell ref="G1387:H1387"/>
    <mergeCell ref="C1389:D1389"/>
    <mergeCell ref="E1389:F1389"/>
    <mergeCell ref="G1389:H1389"/>
    <mergeCell ref="C1373:D1373"/>
    <mergeCell ref="E1373:F1373"/>
    <mergeCell ref="G1373:H1373"/>
    <mergeCell ref="C1374:D1374"/>
    <mergeCell ref="E1374:F1374"/>
    <mergeCell ref="G1374:H1374"/>
    <mergeCell ref="C1375:D1375"/>
    <mergeCell ref="E1375:F1375"/>
    <mergeCell ref="G1375:H1375"/>
    <mergeCell ref="C1377:D1377"/>
    <mergeCell ref="E1377:F1377"/>
    <mergeCell ref="G1377:H1377"/>
    <mergeCell ref="C1378:D1378"/>
    <mergeCell ref="E1378:F1378"/>
    <mergeCell ref="G1378:H1378"/>
    <mergeCell ref="C1379:D1379"/>
    <mergeCell ref="E1379:F1379"/>
    <mergeCell ref="G1379:H1379"/>
    <mergeCell ref="I1363:J1363"/>
    <mergeCell ref="K1363:M1363"/>
    <mergeCell ref="B1365:M1365"/>
    <mergeCell ref="C1366:D1366"/>
    <mergeCell ref="E1366:F1366"/>
    <mergeCell ref="G1366:H1366"/>
    <mergeCell ref="I1366:J1366"/>
    <mergeCell ref="K1366:M1366"/>
    <mergeCell ref="C1368:D1368"/>
    <mergeCell ref="E1368:F1368"/>
    <mergeCell ref="G1368:H1368"/>
    <mergeCell ref="I1368:J1368"/>
    <mergeCell ref="K1368:M1368"/>
    <mergeCell ref="C1362:D1362"/>
    <mergeCell ref="E1362:F1362"/>
    <mergeCell ref="G1362:H1362"/>
    <mergeCell ref="I1362:J1362"/>
    <mergeCell ref="K1362:M1362"/>
    <mergeCell ref="C1367:D1367"/>
    <mergeCell ref="E1367:F1367"/>
    <mergeCell ref="G1367:H1367"/>
    <mergeCell ref="I1367:J1367"/>
    <mergeCell ref="K1367:M1367"/>
    <mergeCell ref="D1371:E1371"/>
    <mergeCell ref="C1349:D1349"/>
    <mergeCell ref="E1349:F1349"/>
    <mergeCell ref="G1349:H1349"/>
    <mergeCell ref="C1351:D1351"/>
    <mergeCell ref="E1351:F1351"/>
    <mergeCell ref="G1351:H1351"/>
    <mergeCell ref="C1353:D1353"/>
    <mergeCell ref="E1353:F1353"/>
    <mergeCell ref="G1353:H1353"/>
    <mergeCell ref="C1355:D1355"/>
    <mergeCell ref="E1355:F1355"/>
    <mergeCell ref="G1355:H1355"/>
    <mergeCell ref="C1357:D1357"/>
    <mergeCell ref="E1357:F1357"/>
    <mergeCell ref="G1357:H1357"/>
    <mergeCell ref="C1359:D1359"/>
    <mergeCell ref="E1359:F1359"/>
    <mergeCell ref="G1359:H1359"/>
    <mergeCell ref="C1363:D1363"/>
    <mergeCell ref="E1363:F1363"/>
    <mergeCell ref="G1363:H1363"/>
    <mergeCell ref="C1339:D1339"/>
    <mergeCell ref="E1339:F1339"/>
    <mergeCell ref="G1339:H1339"/>
    <mergeCell ref="C1340:D1340"/>
    <mergeCell ref="E1340:F1340"/>
    <mergeCell ref="G1340:H1340"/>
    <mergeCell ref="C1341:D1341"/>
    <mergeCell ref="E1341:F1341"/>
    <mergeCell ref="G1341:H1341"/>
    <mergeCell ref="C1343:D1343"/>
    <mergeCell ref="E1343:F1343"/>
    <mergeCell ref="G1343:H1343"/>
    <mergeCell ref="C1345:D1345"/>
    <mergeCell ref="E1345:F1345"/>
    <mergeCell ref="G1345:H1345"/>
    <mergeCell ref="C1347:D1347"/>
    <mergeCell ref="E1347:F1347"/>
    <mergeCell ref="G1347:H1347"/>
    <mergeCell ref="C1330:J1330"/>
    <mergeCell ref="D1331:E1331"/>
    <mergeCell ref="C1333:D1333"/>
    <mergeCell ref="E1333:F1333"/>
    <mergeCell ref="G1333:H1333"/>
    <mergeCell ref="I1333:M1333"/>
    <mergeCell ref="C1334:D1334"/>
    <mergeCell ref="E1334:F1334"/>
    <mergeCell ref="G1334:H1334"/>
    <mergeCell ref="C1335:D1335"/>
    <mergeCell ref="E1335:F1335"/>
    <mergeCell ref="G1335:H1335"/>
    <mergeCell ref="C1337:D1337"/>
    <mergeCell ref="E1337:F1337"/>
    <mergeCell ref="G1337:H1337"/>
    <mergeCell ref="C1338:D1338"/>
    <mergeCell ref="E1338:F1338"/>
    <mergeCell ref="G1338:H1338"/>
    <mergeCell ref="B1326:M1326"/>
    <mergeCell ref="C1327:D1327"/>
    <mergeCell ref="E1327:F1327"/>
    <mergeCell ref="G1327:H1327"/>
    <mergeCell ref="I1327:J1327"/>
    <mergeCell ref="K1327:M1327"/>
    <mergeCell ref="C1328:D1328"/>
    <mergeCell ref="E1328:F1328"/>
    <mergeCell ref="G1328:H1328"/>
    <mergeCell ref="I1328:J1328"/>
    <mergeCell ref="K1328:M1328"/>
    <mergeCell ref="C1314:D1314"/>
    <mergeCell ref="E1314:F1314"/>
    <mergeCell ref="G1314:H1314"/>
    <mergeCell ref="C1316:D1316"/>
    <mergeCell ref="E1316:F1316"/>
    <mergeCell ref="G1316:H1316"/>
    <mergeCell ref="C1318:D1318"/>
    <mergeCell ref="E1318:F1318"/>
    <mergeCell ref="G1318:H1318"/>
    <mergeCell ref="C1308:D1308"/>
    <mergeCell ref="E1308:F1308"/>
    <mergeCell ref="G1308:H1308"/>
    <mergeCell ref="C1310:D1310"/>
    <mergeCell ref="E1310:F1310"/>
    <mergeCell ref="G1310:H1310"/>
    <mergeCell ref="C1312:D1312"/>
    <mergeCell ref="E1312:F1312"/>
    <mergeCell ref="G1312:H1312"/>
    <mergeCell ref="B1322:M1322"/>
    <mergeCell ref="C1323:D1323"/>
    <mergeCell ref="E1323:F1323"/>
    <mergeCell ref="G1323:H1323"/>
    <mergeCell ref="I1323:J1323"/>
    <mergeCell ref="K1323:M1323"/>
    <mergeCell ref="C1324:D1324"/>
    <mergeCell ref="E1324:F1324"/>
    <mergeCell ref="G1324:H1324"/>
    <mergeCell ref="I1324:J1324"/>
    <mergeCell ref="K1324:M1324"/>
    <mergeCell ref="C1296:D1296"/>
    <mergeCell ref="E1296:F1296"/>
    <mergeCell ref="G1296:H1296"/>
    <mergeCell ref="C1298:D1298"/>
    <mergeCell ref="E1298:F1298"/>
    <mergeCell ref="G1298:H1298"/>
    <mergeCell ref="C1300:D1300"/>
    <mergeCell ref="E1300:F1300"/>
    <mergeCell ref="G1300:H1300"/>
    <mergeCell ref="C1302:D1302"/>
    <mergeCell ref="E1302:F1302"/>
    <mergeCell ref="G1302:H1302"/>
    <mergeCell ref="C1304:D1304"/>
    <mergeCell ref="E1304:F1304"/>
    <mergeCell ref="G1304:H1304"/>
    <mergeCell ref="C1306:D1306"/>
    <mergeCell ref="E1306:F1306"/>
    <mergeCell ref="G1306:H1306"/>
    <mergeCell ref="C1288:D1288"/>
    <mergeCell ref="E1288:F1288"/>
    <mergeCell ref="G1288:H1288"/>
    <mergeCell ref="C1289:D1289"/>
    <mergeCell ref="E1289:F1289"/>
    <mergeCell ref="G1289:H1289"/>
    <mergeCell ref="C1290:D1290"/>
    <mergeCell ref="E1290:F1290"/>
    <mergeCell ref="G1290:H1290"/>
    <mergeCell ref="C1291:D1291"/>
    <mergeCell ref="E1291:F1291"/>
    <mergeCell ref="G1291:H1291"/>
    <mergeCell ref="C1292:D1292"/>
    <mergeCell ref="E1292:F1292"/>
    <mergeCell ref="G1292:H1292"/>
    <mergeCell ref="C1294:D1294"/>
    <mergeCell ref="E1294:F1294"/>
    <mergeCell ref="G1294:H1294"/>
    <mergeCell ref="C1279:D1279"/>
    <mergeCell ref="E1279:F1279"/>
    <mergeCell ref="G1279:H1279"/>
    <mergeCell ref="I1279:J1279"/>
    <mergeCell ref="K1279:M1279"/>
    <mergeCell ref="C1281:J1281"/>
    <mergeCell ref="D1282:E1282"/>
    <mergeCell ref="C1284:D1284"/>
    <mergeCell ref="E1284:F1284"/>
    <mergeCell ref="G1284:H1284"/>
    <mergeCell ref="I1284:M1284"/>
    <mergeCell ref="C1285:D1285"/>
    <mergeCell ref="E1285:F1285"/>
    <mergeCell ref="G1285:H1285"/>
    <mergeCell ref="C1286:D1286"/>
    <mergeCell ref="E1286:F1286"/>
    <mergeCell ref="G1286:H1286"/>
    <mergeCell ref="B1273:M1273"/>
    <mergeCell ref="C1274:D1274"/>
    <mergeCell ref="E1274:F1274"/>
    <mergeCell ref="G1274:H1274"/>
    <mergeCell ref="I1274:J1274"/>
    <mergeCell ref="K1274:M1274"/>
    <mergeCell ref="C1275:D1275"/>
    <mergeCell ref="E1275:F1275"/>
    <mergeCell ref="G1275:H1275"/>
    <mergeCell ref="I1275:J1275"/>
    <mergeCell ref="K1275:M1275"/>
    <mergeCell ref="B1277:M1277"/>
    <mergeCell ref="C1278:D1278"/>
    <mergeCell ref="E1278:F1278"/>
    <mergeCell ref="G1278:H1278"/>
    <mergeCell ref="I1278:J1278"/>
    <mergeCell ref="K1278:M1278"/>
    <mergeCell ref="C1258:D1258"/>
    <mergeCell ref="E1258:F1258"/>
    <mergeCell ref="G1258:H1258"/>
    <mergeCell ref="I1258:J1258"/>
    <mergeCell ref="K1258:M1258"/>
    <mergeCell ref="C1243:D1243"/>
    <mergeCell ref="E1243:F1243"/>
    <mergeCell ref="G1243:H1243"/>
    <mergeCell ref="C1260:L1260"/>
    <mergeCell ref="D1261:E1261"/>
    <mergeCell ref="C1263:D1263"/>
    <mergeCell ref="E1263:I1263"/>
    <mergeCell ref="C1264:D1264"/>
    <mergeCell ref="C1265:D1265"/>
    <mergeCell ref="C1267:D1267"/>
    <mergeCell ref="C1269:D1269"/>
    <mergeCell ref="C1271:D1271"/>
    <mergeCell ref="B1252:M1252"/>
    <mergeCell ref="C1253:D1253"/>
    <mergeCell ref="E1253:F1253"/>
    <mergeCell ref="G1253:H1253"/>
    <mergeCell ref="I1253:J1253"/>
    <mergeCell ref="K1253:M1253"/>
    <mergeCell ref="C1254:D1254"/>
    <mergeCell ref="E1254:F1254"/>
    <mergeCell ref="G1254:H1254"/>
    <mergeCell ref="I1254:J1254"/>
    <mergeCell ref="K1254:M1254"/>
    <mergeCell ref="B1256:M1256"/>
    <mergeCell ref="C1257:D1257"/>
    <mergeCell ref="E1257:F1257"/>
    <mergeCell ref="G1257:H1257"/>
    <mergeCell ref="I1257:J1257"/>
    <mergeCell ref="K1257:M1257"/>
    <mergeCell ref="C1246:D1246"/>
    <mergeCell ref="E1246:F1246"/>
    <mergeCell ref="G1246:H1246"/>
    <mergeCell ref="C1248:D1248"/>
    <mergeCell ref="E1248:F1248"/>
    <mergeCell ref="G1248:H1248"/>
    <mergeCell ref="C1250:D1250"/>
    <mergeCell ref="E1250:F1250"/>
    <mergeCell ref="G1250:H1250"/>
    <mergeCell ref="C1236:D1236"/>
    <mergeCell ref="E1236:F1236"/>
    <mergeCell ref="G1236:H1236"/>
    <mergeCell ref="C1237:D1237"/>
    <mergeCell ref="E1237:F1237"/>
    <mergeCell ref="G1237:H1237"/>
    <mergeCell ref="C1238:D1238"/>
    <mergeCell ref="E1238:F1238"/>
    <mergeCell ref="G1238:H1238"/>
    <mergeCell ref="C1240:D1240"/>
    <mergeCell ref="E1240:F1240"/>
    <mergeCell ref="G1240:H1240"/>
    <mergeCell ref="C1242:D1242"/>
    <mergeCell ref="E1242:F1242"/>
    <mergeCell ref="G1242:H1242"/>
    <mergeCell ref="C1244:D1244"/>
    <mergeCell ref="E1244:F1244"/>
    <mergeCell ref="G1244:H1244"/>
    <mergeCell ref="C1227:J1227"/>
    <mergeCell ref="D1228:E1228"/>
    <mergeCell ref="C1230:D1230"/>
    <mergeCell ref="E1230:F1230"/>
    <mergeCell ref="G1230:H1230"/>
    <mergeCell ref="I1230:M1230"/>
    <mergeCell ref="C1231:D1231"/>
    <mergeCell ref="E1231:F1231"/>
    <mergeCell ref="G1231:H1231"/>
    <mergeCell ref="C1232:D1232"/>
    <mergeCell ref="E1232:F1232"/>
    <mergeCell ref="G1232:H1232"/>
    <mergeCell ref="C1234:D1234"/>
    <mergeCell ref="E1234:F1234"/>
    <mergeCell ref="G1234:H1234"/>
    <mergeCell ref="C1235:D1235"/>
    <mergeCell ref="E1235:F1235"/>
    <mergeCell ref="G1235:H1235"/>
    <mergeCell ref="C1225:D1225"/>
    <mergeCell ref="E1225:F1225"/>
    <mergeCell ref="G1225:H1225"/>
    <mergeCell ref="I1225:J1225"/>
    <mergeCell ref="K1225:M1225"/>
    <mergeCell ref="C1205:D1205"/>
    <mergeCell ref="C1207:D1207"/>
    <mergeCell ref="C1209:D1209"/>
    <mergeCell ref="C1211:D1211"/>
    <mergeCell ref="C1213:D1213"/>
    <mergeCell ref="C1215:D1215"/>
    <mergeCell ref="C1217:D1217"/>
    <mergeCell ref="E1205:F1205"/>
    <mergeCell ref="E1207:F1207"/>
    <mergeCell ref="E1209:F1209"/>
    <mergeCell ref="E1211:F1211"/>
    <mergeCell ref="E1213:F1213"/>
    <mergeCell ref="E1215:F1215"/>
    <mergeCell ref="E1217:F1217"/>
    <mergeCell ref="G1205:H1205"/>
    <mergeCell ref="G1207:H1207"/>
    <mergeCell ref="G1209:H1209"/>
    <mergeCell ref="G1211:H1211"/>
    <mergeCell ref="G1213:H1213"/>
    <mergeCell ref="G1215:H1215"/>
    <mergeCell ref="G1217:H1217"/>
    <mergeCell ref="B1219:M1219"/>
    <mergeCell ref="C1220:D1220"/>
    <mergeCell ref="E1220:F1220"/>
    <mergeCell ref="G1220:H1220"/>
    <mergeCell ref="I1220:J1220"/>
    <mergeCell ref="K1220:M1220"/>
    <mergeCell ref="C1221:D1221"/>
    <mergeCell ref="E1221:F1221"/>
    <mergeCell ref="G1221:H1221"/>
    <mergeCell ref="I1221:J1221"/>
    <mergeCell ref="K1221:M1221"/>
    <mergeCell ref="B1223:M1223"/>
    <mergeCell ref="C1224:D1224"/>
    <mergeCell ref="E1224:F1224"/>
    <mergeCell ref="G1224:H1224"/>
    <mergeCell ref="I1224:J1224"/>
    <mergeCell ref="K1224:M1224"/>
    <mergeCell ref="C1195:D1195"/>
    <mergeCell ref="E1195:F1195"/>
    <mergeCell ref="G1195:H1195"/>
    <mergeCell ref="C1196:D1196"/>
    <mergeCell ref="E1196:F1196"/>
    <mergeCell ref="G1196:H1196"/>
    <mergeCell ref="C1197:D1197"/>
    <mergeCell ref="E1197:F1197"/>
    <mergeCell ref="G1197:H1197"/>
    <mergeCell ref="C1199:D1199"/>
    <mergeCell ref="E1199:F1199"/>
    <mergeCell ref="G1199:H1199"/>
    <mergeCell ref="C1201:D1201"/>
    <mergeCell ref="E1201:F1201"/>
    <mergeCell ref="G1201:H1201"/>
    <mergeCell ref="C1203:D1203"/>
    <mergeCell ref="E1203:F1203"/>
    <mergeCell ref="G1203:H1203"/>
    <mergeCell ref="C1186:J1186"/>
    <mergeCell ref="D1187:E1187"/>
    <mergeCell ref="C1189:D1189"/>
    <mergeCell ref="E1189:F1189"/>
    <mergeCell ref="G1189:H1189"/>
    <mergeCell ref="I1189:M1189"/>
    <mergeCell ref="C1190:D1190"/>
    <mergeCell ref="E1190:F1190"/>
    <mergeCell ref="G1190:H1190"/>
    <mergeCell ref="C1191:D1191"/>
    <mergeCell ref="E1191:F1191"/>
    <mergeCell ref="G1191:H1191"/>
    <mergeCell ref="C1193:D1193"/>
    <mergeCell ref="E1193:F1193"/>
    <mergeCell ref="G1193:H1193"/>
    <mergeCell ref="C1194:D1194"/>
    <mergeCell ref="E1194:F1194"/>
    <mergeCell ref="G1194:H1194"/>
    <mergeCell ref="C1180:D1180"/>
    <mergeCell ref="E1180:F1180"/>
    <mergeCell ref="G1180:H1180"/>
    <mergeCell ref="I1180:J1180"/>
    <mergeCell ref="K1180:M1180"/>
    <mergeCell ref="B1182:M1182"/>
    <mergeCell ref="C1183:D1183"/>
    <mergeCell ref="E1183:F1183"/>
    <mergeCell ref="G1183:H1183"/>
    <mergeCell ref="I1183:J1183"/>
    <mergeCell ref="K1183:M1183"/>
    <mergeCell ref="C1184:D1184"/>
    <mergeCell ref="E1184:F1184"/>
    <mergeCell ref="G1184:H1184"/>
    <mergeCell ref="I1184:J1184"/>
    <mergeCell ref="K1184:M1184"/>
    <mergeCell ref="C1176:D1176"/>
    <mergeCell ref="E1176:F1176"/>
    <mergeCell ref="G1176:H1176"/>
    <mergeCell ref="B1178:M1178"/>
    <mergeCell ref="C1179:D1179"/>
    <mergeCell ref="E1179:F1179"/>
    <mergeCell ref="G1179:H1179"/>
    <mergeCell ref="I1179:J1179"/>
    <mergeCell ref="K1179:M1179"/>
    <mergeCell ref="C1168:D1168"/>
    <mergeCell ref="E1168:F1168"/>
    <mergeCell ref="G1168:H1168"/>
    <mergeCell ref="C1169:D1169"/>
    <mergeCell ref="E1169:F1169"/>
    <mergeCell ref="G1169:H1169"/>
    <mergeCell ref="C1170:D1170"/>
    <mergeCell ref="E1170:F1170"/>
    <mergeCell ref="G1170:H1170"/>
    <mergeCell ref="C1172:D1172"/>
    <mergeCell ref="E1172:F1172"/>
    <mergeCell ref="G1172:H1172"/>
    <mergeCell ref="C1174:D1174"/>
    <mergeCell ref="E1174:F1174"/>
    <mergeCell ref="G1174:H1174"/>
    <mergeCell ref="D1160:E1160"/>
    <mergeCell ref="C1162:D1162"/>
    <mergeCell ref="E1162:F1162"/>
    <mergeCell ref="G1162:H1162"/>
    <mergeCell ref="I1162:M1162"/>
    <mergeCell ref="C1163:D1163"/>
    <mergeCell ref="E1163:F1163"/>
    <mergeCell ref="G1163:H1163"/>
    <mergeCell ref="C1164:D1164"/>
    <mergeCell ref="E1164:F1164"/>
    <mergeCell ref="G1164:H1164"/>
    <mergeCell ref="C1166:D1166"/>
    <mergeCell ref="E1166:F1166"/>
    <mergeCell ref="G1166:H1166"/>
    <mergeCell ref="C1167:D1167"/>
    <mergeCell ref="E1167:F1167"/>
    <mergeCell ref="G1167:H1167"/>
    <mergeCell ref="C1152:D1152"/>
    <mergeCell ref="E1152:F1152"/>
    <mergeCell ref="G1152:H1152"/>
    <mergeCell ref="I1152:J1152"/>
    <mergeCell ref="K1152:M1152"/>
    <mergeCell ref="B1154:M1154"/>
    <mergeCell ref="C1155:D1155"/>
    <mergeCell ref="E1155:F1155"/>
    <mergeCell ref="G1155:H1155"/>
    <mergeCell ref="I1155:J1155"/>
    <mergeCell ref="K1155:M1155"/>
    <mergeCell ref="C1157:D1157"/>
    <mergeCell ref="E1157:F1157"/>
    <mergeCell ref="G1157:H1157"/>
    <mergeCell ref="I1157:J1157"/>
    <mergeCell ref="K1157:M1157"/>
    <mergeCell ref="C1159:J1159"/>
    <mergeCell ref="C1156:D1156"/>
    <mergeCell ref="E1156:F1156"/>
    <mergeCell ref="C1146:D1146"/>
    <mergeCell ref="E1146:F1146"/>
    <mergeCell ref="G1146:H1146"/>
    <mergeCell ref="C1148:D1148"/>
    <mergeCell ref="E1148:F1148"/>
    <mergeCell ref="G1148:H1148"/>
    <mergeCell ref="B1150:M1150"/>
    <mergeCell ref="C1151:D1151"/>
    <mergeCell ref="E1151:F1151"/>
    <mergeCell ref="G1151:H1151"/>
    <mergeCell ref="I1151:J1151"/>
    <mergeCell ref="K1151:M1151"/>
    <mergeCell ref="C1136:D1136"/>
    <mergeCell ref="E1136:F1136"/>
    <mergeCell ref="G1136:H1136"/>
    <mergeCell ref="C1138:D1138"/>
    <mergeCell ref="E1138:F1138"/>
    <mergeCell ref="G1138:H1138"/>
    <mergeCell ref="C1140:D1140"/>
    <mergeCell ref="E1140:F1140"/>
    <mergeCell ref="G1140:H1140"/>
    <mergeCell ref="C1142:D1142"/>
    <mergeCell ref="E1142:F1142"/>
    <mergeCell ref="G1142:H1142"/>
    <mergeCell ref="C1144:D1144"/>
    <mergeCell ref="E1144:F1144"/>
    <mergeCell ref="G1144:H1144"/>
    <mergeCell ref="C1145:D1145"/>
    <mergeCell ref="E1145:F1145"/>
    <mergeCell ref="G1145:H1145"/>
    <mergeCell ref="C1129:D1129"/>
    <mergeCell ref="E1129:F1129"/>
    <mergeCell ref="G1129:H1129"/>
    <mergeCell ref="C1130:D1130"/>
    <mergeCell ref="E1130:F1130"/>
    <mergeCell ref="G1130:H1130"/>
    <mergeCell ref="C1132:D1132"/>
    <mergeCell ref="E1132:F1132"/>
    <mergeCell ref="G1132:H1132"/>
    <mergeCell ref="C1133:D1133"/>
    <mergeCell ref="E1133:F1133"/>
    <mergeCell ref="G1133:H1133"/>
    <mergeCell ref="C1134:D1134"/>
    <mergeCell ref="E1134:F1134"/>
    <mergeCell ref="G1134:H1134"/>
    <mergeCell ref="C1135:D1135"/>
    <mergeCell ref="E1135:F1135"/>
    <mergeCell ref="G1135:H1135"/>
    <mergeCell ref="B1121:M1121"/>
    <mergeCell ref="C1122:D1122"/>
    <mergeCell ref="E1122:F1122"/>
    <mergeCell ref="G1122:H1122"/>
    <mergeCell ref="I1122:J1122"/>
    <mergeCell ref="K1122:M1122"/>
    <mergeCell ref="C1123:D1123"/>
    <mergeCell ref="E1123:F1123"/>
    <mergeCell ref="G1123:H1123"/>
    <mergeCell ref="I1123:J1123"/>
    <mergeCell ref="K1123:M1123"/>
    <mergeCell ref="C1125:J1125"/>
    <mergeCell ref="D1126:E1126"/>
    <mergeCell ref="C1128:D1128"/>
    <mergeCell ref="E1128:F1128"/>
    <mergeCell ref="G1128:H1128"/>
    <mergeCell ref="I1128:M1128"/>
    <mergeCell ref="B1117:M1117"/>
    <mergeCell ref="C1118:D1118"/>
    <mergeCell ref="E1118:F1118"/>
    <mergeCell ref="G1118:H1118"/>
    <mergeCell ref="I1118:J1118"/>
    <mergeCell ref="K1118:M1118"/>
    <mergeCell ref="C1119:D1119"/>
    <mergeCell ref="E1119:F1119"/>
    <mergeCell ref="G1119:H1119"/>
    <mergeCell ref="I1119:J1119"/>
    <mergeCell ref="K1119:M1119"/>
    <mergeCell ref="C1101:D1101"/>
    <mergeCell ref="E1101:F1101"/>
    <mergeCell ref="G1101:H1101"/>
    <mergeCell ref="C1103:D1103"/>
    <mergeCell ref="E1103:F1103"/>
    <mergeCell ref="G1103:H1103"/>
    <mergeCell ref="C1105:D1105"/>
    <mergeCell ref="E1105:F1105"/>
    <mergeCell ref="G1105:H1105"/>
    <mergeCell ref="C1107:D1107"/>
    <mergeCell ref="E1107:F1107"/>
    <mergeCell ref="G1107:H1107"/>
    <mergeCell ref="C1109:D1109"/>
    <mergeCell ref="E1109:F1109"/>
    <mergeCell ref="G1109:H1109"/>
    <mergeCell ref="G1111:H1111"/>
    <mergeCell ref="E1111:F1111"/>
    <mergeCell ref="C1111:D1111"/>
    <mergeCell ref="C1113:D1113"/>
    <mergeCell ref="E1113:F1113"/>
    <mergeCell ref="G1113:H1113"/>
    <mergeCell ref="C1091:D1091"/>
    <mergeCell ref="E1091:F1091"/>
    <mergeCell ref="G1091:H1091"/>
    <mergeCell ref="C1093:D1093"/>
    <mergeCell ref="E1093:F1093"/>
    <mergeCell ref="G1093:H1093"/>
    <mergeCell ref="C1095:D1095"/>
    <mergeCell ref="E1095:F1095"/>
    <mergeCell ref="G1095:H1095"/>
    <mergeCell ref="C1097:D1097"/>
    <mergeCell ref="E1097:F1097"/>
    <mergeCell ref="G1097:H1097"/>
    <mergeCell ref="C1099:D1099"/>
    <mergeCell ref="E1099:F1099"/>
    <mergeCell ref="G1099:H1099"/>
    <mergeCell ref="C1100:D1100"/>
    <mergeCell ref="E1100:F1100"/>
    <mergeCell ref="G1100:H1100"/>
    <mergeCell ref="C1084:D1084"/>
    <mergeCell ref="E1084:F1084"/>
    <mergeCell ref="G1084:H1084"/>
    <mergeCell ref="C1085:D1085"/>
    <mergeCell ref="E1085:F1085"/>
    <mergeCell ref="G1085:H1085"/>
    <mergeCell ref="C1087:D1087"/>
    <mergeCell ref="E1087:F1087"/>
    <mergeCell ref="G1087:H1087"/>
    <mergeCell ref="C1088:D1088"/>
    <mergeCell ref="E1088:F1088"/>
    <mergeCell ref="G1088:H1088"/>
    <mergeCell ref="C1089:D1089"/>
    <mergeCell ref="E1089:F1089"/>
    <mergeCell ref="G1089:H1089"/>
    <mergeCell ref="C1090:D1090"/>
    <mergeCell ref="E1090:F1090"/>
    <mergeCell ref="G1090:H1090"/>
    <mergeCell ref="B1076:M1076"/>
    <mergeCell ref="C1077:D1077"/>
    <mergeCell ref="E1077:F1077"/>
    <mergeCell ref="G1077:H1077"/>
    <mergeCell ref="I1077:J1077"/>
    <mergeCell ref="K1077:M1077"/>
    <mergeCell ref="C1078:D1078"/>
    <mergeCell ref="E1078:F1078"/>
    <mergeCell ref="G1078:H1078"/>
    <mergeCell ref="I1078:J1078"/>
    <mergeCell ref="K1078:M1078"/>
    <mergeCell ref="C1080:J1080"/>
    <mergeCell ref="D1081:E1081"/>
    <mergeCell ref="C1083:D1083"/>
    <mergeCell ref="E1083:F1083"/>
    <mergeCell ref="G1083:H1083"/>
    <mergeCell ref="I1083:M1083"/>
    <mergeCell ref="B1072:M1072"/>
    <mergeCell ref="C1073:D1073"/>
    <mergeCell ref="E1073:F1073"/>
    <mergeCell ref="G1073:H1073"/>
    <mergeCell ref="I1073:J1073"/>
    <mergeCell ref="K1073:M1073"/>
    <mergeCell ref="C1074:D1074"/>
    <mergeCell ref="E1074:F1074"/>
    <mergeCell ref="G1074:H1074"/>
    <mergeCell ref="I1074:J1074"/>
    <mergeCell ref="K1074:M1074"/>
    <mergeCell ref="C1066:D1066"/>
    <mergeCell ref="E1066:F1066"/>
    <mergeCell ref="G1066:H1066"/>
    <mergeCell ref="C1068:D1068"/>
    <mergeCell ref="E1068:F1068"/>
    <mergeCell ref="G1068:H1068"/>
    <mergeCell ref="C1070:D1070"/>
    <mergeCell ref="E1070:F1070"/>
    <mergeCell ref="G1070:H1070"/>
    <mergeCell ref="C1054:D1054"/>
    <mergeCell ref="E1054:F1054"/>
    <mergeCell ref="G1054:H1054"/>
    <mergeCell ref="C1056:D1056"/>
    <mergeCell ref="E1056:F1056"/>
    <mergeCell ref="G1056:H1056"/>
    <mergeCell ref="C1058:D1058"/>
    <mergeCell ref="E1058:F1058"/>
    <mergeCell ref="G1058:H1058"/>
    <mergeCell ref="C1060:D1060"/>
    <mergeCell ref="E1060:F1060"/>
    <mergeCell ref="G1060:H1060"/>
    <mergeCell ref="C1062:D1062"/>
    <mergeCell ref="E1062:F1062"/>
    <mergeCell ref="G1062:H1062"/>
    <mergeCell ref="C1064:D1064"/>
    <mergeCell ref="E1064:F1064"/>
    <mergeCell ref="G1064:H1064"/>
    <mergeCell ref="C1044:D1044"/>
    <mergeCell ref="E1044:F1044"/>
    <mergeCell ref="G1044:H1044"/>
    <mergeCell ref="C1046:D1046"/>
    <mergeCell ref="E1046:F1046"/>
    <mergeCell ref="G1046:H1046"/>
    <mergeCell ref="C1048:D1048"/>
    <mergeCell ref="E1048:F1048"/>
    <mergeCell ref="G1048:H1048"/>
    <mergeCell ref="C1050:D1050"/>
    <mergeCell ref="E1050:F1050"/>
    <mergeCell ref="G1050:H1050"/>
    <mergeCell ref="C1052:D1052"/>
    <mergeCell ref="E1052:F1052"/>
    <mergeCell ref="G1052:H1052"/>
    <mergeCell ref="C1053:D1053"/>
    <mergeCell ref="E1053:F1053"/>
    <mergeCell ref="G1053:H1053"/>
    <mergeCell ref="C1037:D1037"/>
    <mergeCell ref="E1037:F1037"/>
    <mergeCell ref="G1037:H1037"/>
    <mergeCell ref="C1038:D1038"/>
    <mergeCell ref="E1038:F1038"/>
    <mergeCell ref="G1038:H1038"/>
    <mergeCell ref="C1040:D1040"/>
    <mergeCell ref="E1040:F1040"/>
    <mergeCell ref="G1040:H1040"/>
    <mergeCell ref="C1041:D1041"/>
    <mergeCell ref="E1041:F1041"/>
    <mergeCell ref="G1041:H1041"/>
    <mergeCell ref="C1042:D1042"/>
    <mergeCell ref="E1042:F1042"/>
    <mergeCell ref="G1042:H1042"/>
    <mergeCell ref="C1043:D1043"/>
    <mergeCell ref="E1043:F1043"/>
    <mergeCell ref="G1043:H1043"/>
    <mergeCell ref="C1031:D1031"/>
    <mergeCell ref="E1031:F1031"/>
    <mergeCell ref="G1031:H1031"/>
    <mergeCell ref="I1031:J1031"/>
    <mergeCell ref="K1031:M1031"/>
    <mergeCell ref="C988:D988"/>
    <mergeCell ref="C1018:D1018"/>
    <mergeCell ref="E988:F988"/>
    <mergeCell ref="G988:H988"/>
    <mergeCell ref="E1018:F1018"/>
    <mergeCell ref="G1018:H1018"/>
    <mergeCell ref="C1033:J1033"/>
    <mergeCell ref="D1034:E1034"/>
    <mergeCell ref="C1036:D1036"/>
    <mergeCell ref="E1036:F1036"/>
    <mergeCell ref="G1036:H1036"/>
    <mergeCell ref="I1036:M1036"/>
    <mergeCell ref="B1025:M1025"/>
    <mergeCell ref="C1026:D1026"/>
    <mergeCell ref="E1026:F1026"/>
    <mergeCell ref="G1026:H1026"/>
    <mergeCell ref="I1026:J1026"/>
    <mergeCell ref="K1026:M1026"/>
    <mergeCell ref="C1027:D1027"/>
    <mergeCell ref="E1027:F1027"/>
    <mergeCell ref="G1027:H1027"/>
    <mergeCell ref="I1027:J1027"/>
    <mergeCell ref="K1027:M1027"/>
    <mergeCell ref="B1029:M1029"/>
    <mergeCell ref="C1030:D1030"/>
    <mergeCell ref="E1030:F1030"/>
    <mergeCell ref="G1030:H1030"/>
    <mergeCell ref="I1030:J1030"/>
    <mergeCell ref="K1030:M1030"/>
    <mergeCell ref="C1017:D1017"/>
    <mergeCell ref="E1017:F1017"/>
    <mergeCell ref="G1017:H1017"/>
    <mergeCell ref="C1019:D1019"/>
    <mergeCell ref="E1019:F1019"/>
    <mergeCell ref="G1019:H1019"/>
    <mergeCell ref="C1021:D1021"/>
    <mergeCell ref="E1021:F1021"/>
    <mergeCell ref="G1021:H1021"/>
    <mergeCell ref="C1023:D1023"/>
    <mergeCell ref="E1023:F1023"/>
    <mergeCell ref="G1023:H1023"/>
    <mergeCell ref="C1005:D1005"/>
    <mergeCell ref="E1005:F1005"/>
    <mergeCell ref="G1005:H1005"/>
    <mergeCell ref="C1007:D1007"/>
    <mergeCell ref="E1007:F1007"/>
    <mergeCell ref="G1007:H1007"/>
    <mergeCell ref="C1009:D1009"/>
    <mergeCell ref="E1009:F1009"/>
    <mergeCell ref="G1009:H1009"/>
    <mergeCell ref="C1011:D1011"/>
    <mergeCell ref="E1011:F1011"/>
    <mergeCell ref="G1011:H1011"/>
    <mergeCell ref="C1013:D1013"/>
    <mergeCell ref="E1013:F1013"/>
    <mergeCell ref="G1013:H1013"/>
    <mergeCell ref="C1015:D1015"/>
    <mergeCell ref="E1015:F1015"/>
    <mergeCell ref="G1015:H1015"/>
    <mergeCell ref="C995:D995"/>
    <mergeCell ref="E995:F995"/>
    <mergeCell ref="G995:H995"/>
    <mergeCell ref="C997:D997"/>
    <mergeCell ref="E997:F997"/>
    <mergeCell ref="G997:H997"/>
    <mergeCell ref="C998:D998"/>
    <mergeCell ref="E998:F998"/>
    <mergeCell ref="G998:H998"/>
    <mergeCell ref="C999:D999"/>
    <mergeCell ref="E999:F999"/>
    <mergeCell ref="G999:H999"/>
    <mergeCell ref="C1001:D1001"/>
    <mergeCell ref="E1001:F1001"/>
    <mergeCell ref="G1001:H1001"/>
    <mergeCell ref="C1003:D1003"/>
    <mergeCell ref="E1003:F1003"/>
    <mergeCell ref="G1003:H1003"/>
    <mergeCell ref="C976:D976"/>
    <mergeCell ref="E976:F976"/>
    <mergeCell ref="G976:H976"/>
    <mergeCell ref="I976:J976"/>
    <mergeCell ref="K976:M976"/>
    <mergeCell ref="C978:J978"/>
    <mergeCell ref="D979:E979"/>
    <mergeCell ref="C981:D981"/>
    <mergeCell ref="E981:F981"/>
    <mergeCell ref="G981:H981"/>
    <mergeCell ref="I981:M981"/>
    <mergeCell ref="C983:D983"/>
    <mergeCell ref="E983:F983"/>
    <mergeCell ref="G983:H983"/>
    <mergeCell ref="C985:D985"/>
    <mergeCell ref="E985:F985"/>
    <mergeCell ref="G985:H985"/>
    <mergeCell ref="B969:M969"/>
    <mergeCell ref="C970:D970"/>
    <mergeCell ref="E970:F970"/>
    <mergeCell ref="G970:H970"/>
    <mergeCell ref="I970:J970"/>
    <mergeCell ref="K970:M970"/>
    <mergeCell ref="C971:D971"/>
    <mergeCell ref="E971:F971"/>
    <mergeCell ref="G971:H971"/>
    <mergeCell ref="I971:J971"/>
    <mergeCell ref="K971:M971"/>
    <mergeCell ref="B973:M973"/>
    <mergeCell ref="C974:D974"/>
    <mergeCell ref="E974:F974"/>
    <mergeCell ref="G974:H974"/>
    <mergeCell ref="I974:J974"/>
    <mergeCell ref="K974:M974"/>
    <mergeCell ref="C987:D987"/>
    <mergeCell ref="E987:F987"/>
    <mergeCell ref="G987:H987"/>
    <mergeCell ref="C989:D989"/>
    <mergeCell ref="E989:F989"/>
    <mergeCell ref="G989:H989"/>
    <mergeCell ref="C991:D991"/>
    <mergeCell ref="E991:F991"/>
    <mergeCell ref="G991:H991"/>
    <mergeCell ref="C993:D993"/>
    <mergeCell ref="E993:F993"/>
    <mergeCell ref="G993:H993"/>
    <mergeCell ref="C982:D982"/>
    <mergeCell ref="E982:F982"/>
    <mergeCell ref="G982:H982"/>
    <mergeCell ref="C986:D986"/>
    <mergeCell ref="E986:F986"/>
    <mergeCell ref="G986:H986"/>
    <mergeCell ref="C957:D957"/>
    <mergeCell ref="E957:F957"/>
    <mergeCell ref="G957:H957"/>
    <mergeCell ref="C959:D959"/>
    <mergeCell ref="E959:F959"/>
    <mergeCell ref="G959:H959"/>
    <mergeCell ref="C961:D961"/>
    <mergeCell ref="E961:F961"/>
    <mergeCell ref="G961:H961"/>
    <mergeCell ref="C963:D963"/>
    <mergeCell ref="E963:F963"/>
    <mergeCell ref="G963:H963"/>
    <mergeCell ref="C965:D965"/>
    <mergeCell ref="E965:F965"/>
    <mergeCell ref="G965:H965"/>
    <mergeCell ref="C948:J948"/>
    <mergeCell ref="D949:E949"/>
    <mergeCell ref="C951:D951"/>
    <mergeCell ref="E951:F951"/>
    <mergeCell ref="G951:H951"/>
    <mergeCell ref="I951:M951"/>
    <mergeCell ref="C952:D952"/>
    <mergeCell ref="E952:F952"/>
    <mergeCell ref="G952:H952"/>
    <mergeCell ref="C953:D953"/>
    <mergeCell ref="E953:F953"/>
    <mergeCell ref="G953:H953"/>
    <mergeCell ref="C955:D955"/>
    <mergeCell ref="E955:F955"/>
    <mergeCell ref="G955:H955"/>
    <mergeCell ref="C956:D956"/>
    <mergeCell ref="E956:F956"/>
    <mergeCell ref="G956:H956"/>
    <mergeCell ref="B943:M943"/>
    <mergeCell ref="C944:D944"/>
    <mergeCell ref="E944:F944"/>
    <mergeCell ref="G944:H944"/>
    <mergeCell ref="I944:J944"/>
    <mergeCell ref="K944:M944"/>
    <mergeCell ref="C946:D946"/>
    <mergeCell ref="E946:F946"/>
    <mergeCell ref="G946:H946"/>
    <mergeCell ref="I946:J946"/>
    <mergeCell ref="K946:M946"/>
    <mergeCell ref="C933:D933"/>
    <mergeCell ref="E933:F933"/>
    <mergeCell ref="G933:H933"/>
    <mergeCell ref="C935:D935"/>
    <mergeCell ref="E935:F935"/>
    <mergeCell ref="G935:H935"/>
    <mergeCell ref="B939:M939"/>
    <mergeCell ref="C940:D940"/>
    <mergeCell ref="E940:F940"/>
    <mergeCell ref="G940:H940"/>
    <mergeCell ref="I940:J940"/>
    <mergeCell ref="K940:M940"/>
    <mergeCell ref="C941:D941"/>
    <mergeCell ref="E941:F941"/>
    <mergeCell ref="G941:H941"/>
    <mergeCell ref="I941:J941"/>
    <mergeCell ref="K941:M941"/>
    <mergeCell ref="G945:H945"/>
    <mergeCell ref="I945:J945"/>
    <mergeCell ref="K945:M945"/>
    <mergeCell ref="C921:D921"/>
    <mergeCell ref="E921:F921"/>
    <mergeCell ref="G921:H921"/>
    <mergeCell ref="C923:D923"/>
    <mergeCell ref="E923:F923"/>
    <mergeCell ref="G923:H923"/>
    <mergeCell ref="C925:D925"/>
    <mergeCell ref="E925:F925"/>
    <mergeCell ref="G925:H925"/>
    <mergeCell ref="C927:D927"/>
    <mergeCell ref="E927:F927"/>
    <mergeCell ref="G927:H927"/>
    <mergeCell ref="C929:D929"/>
    <mergeCell ref="E929:F929"/>
    <mergeCell ref="G929:H929"/>
    <mergeCell ref="C931:D931"/>
    <mergeCell ref="E931:F931"/>
    <mergeCell ref="G931:H931"/>
    <mergeCell ref="C911:D911"/>
    <mergeCell ref="E911:F911"/>
    <mergeCell ref="G911:H911"/>
    <mergeCell ref="C912:D912"/>
    <mergeCell ref="E912:F912"/>
    <mergeCell ref="G912:H912"/>
    <mergeCell ref="C913:D913"/>
    <mergeCell ref="E913:F913"/>
    <mergeCell ref="G913:H913"/>
    <mergeCell ref="C915:D915"/>
    <mergeCell ref="E915:F915"/>
    <mergeCell ref="G915:H915"/>
    <mergeCell ref="C917:D917"/>
    <mergeCell ref="E917:F917"/>
    <mergeCell ref="G917:H917"/>
    <mergeCell ref="C919:D919"/>
    <mergeCell ref="E919:F919"/>
    <mergeCell ref="G919:H919"/>
    <mergeCell ref="C900:D900"/>
    <mergeCell ref="E900:F900"/>
    <mergeCell ref="G900:H900"/>
    <mergeCell ref="C901:D901"/>
    <mergeCell ref="E901:F901"/>
    <mergeCell ref="G901:H901"/>
    <mergeCell ref="C903:D903"/>
    <mergeCell ref="E903:F903"/>
    <mergeCell ref="G903:H903"/>
    <mergeCell ref="C905:D905"/>
    <mergeCell ref="E905:F905"/>
    <mergeCell ref="G905:H905"/>
    <mergeCell ref="C907:D907"/>
    <mergeCell ref="E907:F907"/>
    <mergeCell ref="G907:H907"/>
    <mergeCell ref="C909:D909"/>
    <mergeCell ref="E909:F909"/>
    <mergeCell ref="G909:H909"/>
    <mergeCell ref="C890:D890"/>
    <mergeCell ref="E890:F890"/>
    <mergeCell ref="G890:H890"/>
    <mergeCell ref="I890:J890"/>
    <mergeCell ref="K890:M890"/>
    <mergeCell ref="C892:J892"/>
    <mergeCell ref="D893:E893"/>
    <mergeCell ref="C895:D895"/>
    <mergeCell ref="E895:F895"/>
    <mergeCell ref="G895:H895"/>
    <mergeCell ref="I895:M895"/>
    <mergeCell ref="C897:D897"/>
    <mergeCell ref="E897:F897"/>
    <mergeCell ref="G897:H897"/>
    <mergeCell ref="C899:D899"/>
    <mergeCell ref="E899:F899"/>
    <mergeCell ref="G899:H899"/>
    <mergeCell ref="C896:D896"/>
    <mergeCell ref="E896:F896"/>
    <mergeCell ref="G896:H896"/>
    <mergeCell ref="B883:M883"/>
    <mergeCell ref="C884:D884"/>
    <mergeCell ref="E884:F884"/>
    <mergeCell ref="G884:H884"/>
    <mergeCell ref="I884:J884"/>
    <mergeCell ref="K884:M884"/>
    <mergeCell ref="C885:D885"/>
    <mergeCell ref="E885:F885"/>
    <mergeCell ref="G885:H885"/>
    <mergeCell ref="I885:J885"/>
    <mergeCell ref="K885:M885"/>
    <mergeCell ref="B887:M887"/>
    <mergeCell ref="C888:D888"/>
    <mergeCell ref="E888:F888"/>
    <mergeCell ref="G888:H888"/>
    <mergeCell ref="I888:J888"/>
    <mergeCell ref="K888:M888"/>
    <mergeCell ref="C873:D873"/>
    <mergeCell ref="E873:F873"/>
    <mergeCell ref="G873:H873"/>
    <mergeCell ref="C875:D875"/>
    <mergeCell ref="E875:F875"/>
    <mergeCell ref="G875:H875"/>
    <mergeCell ref="C877:D877"/>
    <mergeCell ref="E877:F877"/>
    <mergeCell ref="G877:H877"/>
    <mergeCell ref="C879:D879"/>
    <mergeCell ref="E879:F879"/>
    <mergeCell ref="G879:H879"/>
    <mergeCell ref="C863:D863"/>
    <mergeCell ref="E863:F863"/>
    <mergeCell ref="G863:H863"/>
    <mergeCell ref="C865:D865"/>
    <mergeCell ref="E865:F865"/>
    <mergeCell ref="G865:H865"/>
    <mergeCell ref="C867:D867"/>
    <mergeCell ref="E867:F867"/>
    <mergeCell ref="G867:H867"/>
    <mergeCell ref="C869:D869"/>
    <mergeCell ref="E869:F869"/>
    <mergeCell ref="G869:H869"/>
    <mergeCell ref="C870:D870"/>
    <mergeCell ref="E870:F870"/>
    <mergeCell ref="G870:H870"/>
    <mergeCell ref="C871:D871"/>
    <mergeCell ref="E871:F871"/>
    <mergeCell ref="G871:H871"/>
    <mergeCell ref="C854:D854"/>
    <mergeCell ref="E854:F854"/>
    <mergeCell ref="G854:H854"/>
    <mergeCell ref="C855:D855"/>
    <mergeCell ref="E855:F855"/>
    <mergeCell ref="G855:H855"/>
    <mergeCell ref="C857:D857"/>
    <mergeCell ref="E857:F857"/>
    <mergeCell ref="G857:H857"/>
    <mergeCell ref="C858:D858"/>
    <mergeCell ref="E858:F858"/>
    <mergeCell ref="G858:H858"/>
    <mergeCell ref="C859:D859"/>
    <mergeCell ref="E859:F859"/>
    <mergeCell ref="G859:H859"/>
    <mergeCell ref="C861:D861"/>
    <mergeCell ref="E861:F861"/>
    <mergeCell ref="G861:H861"/>
    <mergeCell ref="B846:M846"/>
    <mergeCell ref="C847:D847"/>
    <mergeCell ref="E847:F847"/>
    <mergeCell ref="G847:H847"/>
    <mergeCell ref="I847:J847"/>
    <mergeCell ref="K847:M847"/>
    <mergeCell ref="C848:D848"/>
    <mergeCell ref="E848:F848"/>
    <mergeCell ref="G848:H848"/>
    <mergeCell ref="I848:J848"/>
    <mergeCell ref="K848:M848"/>
    <mergeCell ref="D851:E851"/>
    <mergeCell ref="C853:D853"/>
    <mergeCell ref="E853:F853"/>
    <mergeCell ref="G853:H853"/>
    <mergeCell ref="I853:M853"/>
    <mergeCell ref="B842:M842"/>
    <mergeCell ref="C843:D843"/>
    <mergeCell ref="E843:F843"/>
    <mergeCell ref="G843:H843"/>
    <mergeCell ref="I843:J843"/>
    <mergeCell ref="K843:M843"/>
    <mergeCell ref="C844:D844"/>
    <mergeCell ref="E844:F844"/>
    <mergeCell ref="G844:H844"/>
    <mergeCell ref="I844:J844"/>
    <mergeCell ref="K844:M844"/>
    <mergeCell ref="C850:M850"/>
    <mergeCell ref="K819:M819"/>
    <mergeCell ref="C821:K821"/>
    <mergeCell ref="C832:D832"/>
    <mergeCell ref="E832:F832"/>
    <mergeCell ref="G832:H832"/>
    <mergeCell ref="C834:D834"/>
    <mergeCell ref="E834:F834"/>
    <mergeCell ref="G834:H834"/>
    <mergeCell ref="C836:D836"/>
    <mergeCell ref="E836:F836"/>
    <mergeCell ref="G836:H836"/>
    <mergeCell ref="C838:D838"/>
    <mergeCell ref="E838:F838"/>
    <mergeCell ref="G838:H838"/>
    <mergeCell ref="C840:D840"/>
    <mergeCell ref="E840:F840"/>
    <mergeCell ref="G840:H840"/>
    <mergeCell ref="D822:E822"/>
    <mergeCell ref="C824:D824"/>
    <mergeCell ref="E824:F824"/>
    <mergeCell ref="G824:H824"/>
    <mergeCell ref="C830:D830"/>
    <mergeCell ref="E830:F830"/>
    <mergeCell ref="G830:H830"/>
    <mergeCell ref="G803:H803"/>
    <mergeCell ref="C805:D805"/>
    <mergeCell ref="E805:F805"/>
    <mergeCell ref="G805:H805"/>
    <mergeCell ref="C807:D807"/>
    <mergeCell ref="E807:F807"/>
    <mergeCell ref="G807:H807"/>
    <mergeCell ref="I824:M824"/>
    <mergeCell ref="C825:D825"/>
    <mergeCell ref="E825:F825"/>
    <mergeCell ref="G825:H825"/>
    <mergeCell ref="C826:D826"/>
    <mergeCell ref="E826:F826"/>
    <mergeCell ref="G826:H826"/>
    <mergeCell ref="C828:D828"/>
    <mergeCell ref="E828:F828"/>
    <mergeCell ref="G828:H828"/>
    <mergeCell ref="C815:D815"/>
    <mergeCell ref="E815:F815"/>
    <mergeCell ref="G815:H815"/>
    <mergeCell ref="I815:J815"/>
    <mergeCell ref="K815:M815"/>
    <mergeCell ref="B817:M817"/>
    <mergeCell ref="C818:D818"/>
    <mergeCell ref="E818:F818"/>
    <mergeCell ref="G818:H818"/>
    <mergeCell ref="I818:J818"/>
    <mergeCell ref="K818:M818"/>
    <mergeCell ref="C819:D819"/>
    <mergeCell ref="E819:F819"/>
    <mergeCell ref="G819:H819"/>
    <mergeCell ref="I819:J819"/>
    <mergeCell ref="C791:D791"/>
    <mergeCell ref="E791:F791"/>
    <mergeCell ref="G791:H791"/>
    <mergeCell ref="C793:D793"/>
    <mergeCell ref="E793:F793"/>
    <mergeCell ref="G793:H793"/>
    <mergeCell ref="C795:D795"/>
    <mergeCell ref="E795:F795"/>
    <mergeCell ref="G795:H795"/>
    <mergeCell ref="C809:D809"/>
    <mergeCell ref="E809:F809"/>
    <mergeCell ref="G809:H809"/>
    <mergeCell ref="C811:D811"/>
    <mergeCell ref="E811:F811"/>
    <mergeCell ref="G811:H811"/>
    <mergeCell ref="B813:M813"/>
    <mergeCell ref="C814:D814"/>
    <mergeCell ref="E814:F814"/>
    <mergeCell ref="G814:H814"/>
    <mergeCell ref="I814:J814"/>
    <mergeCell ref="K814:M814"/>
    <mergeCell ref="C797:D797"/>
    <mergeCell ref="E797:F797"/>
    <mergeCell ref="G797:H797"/>
    <mergeCell ref="C799:D799"/>
    <mergeCell ref="E799:F799"/>
    <mergeCell ref="G799:H799"/>
    <mergeCell ref="C801:D801"/>
    <mergeCell ref="E801:F801"/>
    <mergeCell ref="G801:H801"/>
    <mergeCell ref="C803:D803"/>
    <mergeCell ref="E803:F803"/>
    <mergeCell ref="C781:D781"/>
    <mergeCell ref="E781:F781"/>
    <mergeCell ref="G781:H781"/>
    <mergeCell ref="C783:D783"/>
    <mergeCell ref="E783:F783"/>
    <mergeCell ref="G783:H783"/>
    <mergeCell ref="C785:D785"/>
    <mergeCell ref="E785:F785"/>
    <mergeCell ref="G785:H785"/>
    <mergeCell ref="C786:D786"/>
    <mergeCell ref="E786:F786"/>
    <mergeCell ref="G786:H786"/>
    <mergeCell ref="C787:D787"/>
    <mergeCell ref="E787:F787"/>
    <mergeCell ref="G787:H787"/>
    <mergeCell ref="C789:D789"/>
    <mergeCell ref="E789:F789"/>
    <mergeCell ref="G789:H789"/>
    <mergeCell ref="C771:D771"/>
    <mergeCell ref="E771:F771"/>
    <mergeCell ref="G771:H771"/>
    <mergeCell ref="C773:D773"/>
    <mergeCell ref="E773:F773"/>
    <mergeCell ref="G773:H773"/>
    <mergeCell ref="C774:D774"/>
    <mergeCell ref="E774:F774"/>
    <mergeCell ref="G774:H774"/>
    <mergeCell ref="C775:D775"/>
    <mergeCell ref="E775:F775"/>
    <mergeCell ref="G775:H775"/>
    <mergeCell ref="C777:D777"/>
    <mergeCell ref="E777:F777"/>
    <mergeCell ref="G777:H777"/>
    <mergeCell ref="C779:D779"/>
    <mergeCell ref="E779:F779"/>
    <mergeCell ref="G779:H779"/>
    <mergeCell ref="C766:J766"/>
    <mergeCell ref="D767:E767"/>
    <mergeCell ref="C769:D769"/>
    <mergeCell ref="E769:F769"/>
    <mergeCell ref="G769:H769"/>
    <mergeCell ref="I769:M769"/>
    <mergeCell ref="C770:D770"/>
    <mergeCell ref="E770:F770"/>
    <mergeCell ref="G770:H770"/>
    <mergeCell ref="B761:M761"/>
    <mergeCell ref="C762:D762"/>
    <mergeCell ref="E762:F762"/>
    <mergeCell ref="G762:H762"/>
    <mergeCell ref="I762:J762"/>
    <mergeCell ref="K762:M762"/>
    <mergeCell ref="C739:D739"/>
    <mergeCell ref="E739:F739"/>
    <mergeCell ref="G739:H739"/>
    <mergeCell ref="C741:D741"/>
    <mergeCell ref="E741:F741"/>
    <mergeCell ref="G741:H741"/>
    <mergeCell ref="C743:D743"/>
    <mergeCell ref="E743:F743"/>
    <mergeCell ref="G743:H743"/>
    <mergeCell ref="C745:D745"/>
    <mergeCell ref="E745:F745"/>
    <mergeCell ref="G745:H745"/>
    <mergeCell ref="C747:D747"/>
    <mergeCell ref="E747:F747"/>
    <mergeCell ref="G747:H747"/>
    <mergeCell ref="E749:F749"/>
    <mergeCell ref="E751:F751"/>
    <mergeCell ref="G733:H733"/>
    <mergeCell ref="C735:D735"/>
    <mergeCell ref="E735:F735"/>
    <mergeCell ref="G735:H735"/>
    <mergeCell ref="C737:D737"/>
    <mergeCell ref="E737:F737"/>
    <mergeCell ref="G737:H737"/>
    <mergeCell ref="G753:H753"/>
    <mergeCell ref="G755:H755"/>
    <mergeCell ref="B757:M757"/>
    <mergeCell ref="B719:M719"/>
    <mergeCell ref="C720:D720"/>
    <mergeCell ref="E720:F720"/>
    <mergeCell ref="G720:H720"/>
    <mergeCell ref="I720:J720"/>
    <mergeCell ref="K720:M720"/>
    <mergeCell ref="C722:D722"/>
    <mergeCell ref="E722:F722"/>
    <mergeCell ref="G722:H722"/>
    <mergeCell ref="I722:J722"/>
    <mergeCell ref="K722:M722"/>
    <mergeCell ref="C731:D731"/>
    <mergeCell ref="E731:F731"/>
    <mergeCell ref="G731:H731"/>
    <mergeCell ref="C724:K724"/>
    <mergeCell ref="D725:E725"/>
    <mergeCell ref="C727:D727"/>
    <mergeCell ref="E727:F727"/>
    <mergeCell ref="G727:H727"/>
    <mergeCell ref="I727:M727"/>
    <mergeCell ref="B715:M715"/>
    <mergeCell ref="C716:D716"/>
    <mergeCell ref="E716:F716"/>
    <mergeCell ref="G716:H716"/>
    <mergeCell ref="I716:J716"/>
    <mergeCell ref="K716:M716"/>
    <mergeCell ref="C717:D717"/>
    <mergeCell ref="E717:F717"/>
    <mergeCell ref="G717:H717"/>
    <mergeCell ref="I717:J717"/>
    <mergeCell ref="K717:M717"/>
    <mergeCell ref="G703:H703"/>
    <mergeCell ref="C705:D705"/>
    <mergeCell ref="E705:F705"/>
    <mergeCell ref="G705:H705"/>
    <mergeCell ref="C707:D707"/>
    <mergeCell ref="E707:F707"/>
    <mergeCell ref="G707:H707"/>
    <mergeCell ref="C695:D695"/>
    <mergeCell ref="E695:F695"/>
    <mergeCell ref="G695:H695"/>
    <mergeCell ref="C697:D697"/>
    <mergeCell ref="E697:F697"/>
    <mergeCell ref="G697:H697"/>
    <mergeCell ref="C699:D699"/>
    <mergeCell ref="E699:F699"/>
    <mergeCell ref="G699:H699"/>
    <mergeCell ref="C709:D709"/>
    <mergeCell ref="E709:F709"/>
    <mergeCell ref="G709:H709"/>
    <mergeCell ref="C711:D711"/>
    <mergeCell ref="E711:F711"/>
    <mergeCell ref="G711:H711"/>
    <mergeCell ref="C713:D713"/>
    <mergeCell ref="E713:F713"/>
    <mergeCell ref="G713:H713"/>
    <mergeCell ref="C701:D701"/>
    <mergeCell ref="E701:F701"/>
    <mergeCell ref="G701:H701"/>
    <mergeCell ref="C703:D703"/>
    <mergeCell ref="E703:F703"/>
    <mergeCell ref="D689:E689"/>
    <mergeCell ref="C691:D691"/>
    <mergeCell ref="E691:F691"/>
    <mergeCell ref="G691:H691"/>
    <mergeCell ref="I691:M691"/>
    <mergeCell ref="C692:D692"/>
    <mergeCell ref="E692:F692"/>
    <mergeCell ref="G692:H692"/>
    <mergeCell ref="C693:D693"/>
    <mergeCell ref="E693:F693"/>
    <mergeCell ref="G693:H693"/>
    <mergeCell ref="E676:F676"/>
    <mergeCell ref="G676:H676"/>
    <mergeCell ref="C677:D677"/>
    <mergeCell ref="E677:F677"/>
    <mergeCell ref="G677:H677"/>
    <mergeCell ref="C681:D681"/>
    <mergeCell ref="E681:F681"/>
    <mergeCell ref="G681:H681"/>
    <mergeCell ref="E682:F682"/>
    <mergeCell ref="G682:H682"/>
    <mergeCell ref="C686:D686"/>
    <mergeCell ref="E686:F686"/>
    <mergeCell ref="G686:H686"/>
    <mergeCell ref="I686:J686"/>
    <mergeCell ref="K686:M686"/>
    <mergeCell ref="C688:K688"/>
    <mergeCell ref="C668:J668"/>
    <mergeCell ref="D669:E669"/>
    <mergeCell ref="C671:D671"/>
    <mergeCell ref="E671:F671"/>
    <mergeCell ref="G671:H671"/>
    <mergeCell ref="I671:M671"/>
    <mergeCell ref="C672:D672"/>
    <mergeCell ref="E672:F672"/>
    <mergeCell ref="G672:H672"/>
    <mergeCell ref="C673:D673"/>
    <mergeCell ref="E673:F673"/>
    <mergeCell ref="G673:H673"/>
    <mergeCell ref="E674:F674"/>
    <mergeCell ref="G674:H674"/>
    <mergeCell ref="C675:D675"/>
    <mergeCell ref="E675:F675"/>
    <mergeCell ref="G675:H675"/>
    <mergeCell ref="B663:M663"/>
    <mergeCell ref="C664:D664"/>
    <mergeCell ref="E664:F664"/>
    <mergeCell ref="G664:H664"/>
    <mergeCell ref="I664:J664"/>
    <mergeCell ref="K664:M664"/>
    <mergeCell ref="C666:D666"/>
    <mergeCell ref="E666:F666"/>
    <mergeCell ref="G666:H666"/>
    <mergeCell ref="I666:J666"/>
    <mergeCell ref="K666:M666"/>
    <mergeCell ref="C628:D628"/>
    <mergeCell ref="C629:D629"/>
    <mergeCell ref="C631:D631"/>
    <mergeCell ref="C633:D633"/>
    <mergeCell ref="C635:D635"/>
    <mergeCell ref="C637:D637"/>
    <mergeCell ref="C639:D639"/>
    <mergeCell ref="C641:D641"/>
    <mergeCell ref="C643:D643"/>
    <mergeCell ref="E629:F629"/>
    <mergeCell ref="E631:F631"/>
    <mergeCell ref="E633:F633"/>
    <mergeCell ref="E635:F635"/>
    <mergeCell ref="E637:F637"/>
    <mergeCell ref="E639:F639"/>
    <mergeCell ref="E641:F641"/>
    <mergeCell ref="E643:F643"/>
    <mergeCell ref="G629:H629"/>
    <mergeCell ref="G631:H631"/>
    <mergeCell ref="G633:H633"/>
    <mergeCell ref="G635:H635"/>
    <mergeCell ref="C655:D655"/>
    <mergeCell ref="E655:F655"/>
    <mergeCell ref="G655:H655"/>
    <mergeCell ref="C657:D657"/>
    <mergeCell ref="E657:F657"/>
    <mergeCell ref="G657:H657"/>
    <mergeCell ref="C658:D658"/>
    <mergeCell ref="E658:F658"/>
    <mergeCell ref="G658:H658"/>
    <mergeCell ref="B659:M659"/>
    <mergeCell ref="C660:D660"/>
    <mergeCell ref="E660:F660"/>
    <mergeCell ref="G660:H660"/>
    <mergeCell ref="I660:J660"/>
    <mergeCell ref="K660:M660"/>
    <mergeCell ref="C661:D661"/>
    <mergeCell ref="E661:F661"/>
    <mergeCell ref="G661:H661"/>
    <mergeCell ref="I661:J661"/>
    <mergeCell ref="K661:M661"/>
    <mergeCell ref="E647:F647"/>
    <mergeCell ref="G647:H647"/>
    <mergeCell ref="C647:D647"/>
    <mergeCell ref="C649:D649"/>
    <mergeCell ref="E649:F649"/>
    <mergeCell ref="G649:H649"/>
    <mergeCell ref="C651:D651"/>
    <mergeCell ref="E651:F651"/>
    <mergeCell ref="G651:H651"/>
    <mergeCell ref="C653:D653"/>
    <mergeCell ref="E653:F653"/>
    <mergeCell ref="G653:H653"/>
    <mergeCell ref="C623:D623"/>
    <mergeCell ref="E623:F623"/>
    <mergeCell ref="G623:H623"/>
    <mergeCell ref="C625:D625"/>
    <mergeCell ref="E625:F625"/>
    <mergeCell ref="G625:H625"/>
    <mergeCell ref="C627:D627"/>
    <mergeCell ref="E627:F627"/>
    <mergeCell ref="G627:H627"/>
    <mergeCell ref="E628:F628"/>
    <mergeCell ref="G628:H628"/>
    <mergeCell ref="C645:D645"/>
    <mergeCell ref="E645:F645"/>
    <mergeCell ref="G645:H645"/>
    <mergeCell ref="G637:H637"/>
    <mergeCell ref="G639:H639"/>
    <mergeCell ref="G641:H641"/>
    <mergeCell ref="G643:H643"/>
    <mergeCell ref="C616:D616"/>
    <mergeCell ref="E616:F616"/>
    <mergeCell ref="G616:H616"/>
    <mergeCell ref="C617:D617"/>
    <mergeCell ref="E617:F617"/>
    <mergeCell ref="G617:H617"/>
    <mergeCell ref="C619:D619"/>
    <mergeCell ref="E619:F619"/>
    <mergeCell ref="G619:H619"/>
    <mergeCell ref="C621:D621"/>
    <mergeCell ref="E621:F621"/>
    <mergeCell ref="G621:H621"/>
    <mergeCell ref="C608:J608"/>
    <mergeCell ref="D609:E609"/>
    <mergeCell ref="C611:D611"/>
    <mergeCell ref="E611:F611"/>
    <mergeCell ref="G611:H611"/>
    <mergeCell ref="I611:M611"/>
    <mergeCell ref="C612:D612"/>
    <mergeCell ref="E612:F612"/>
    <mergeCell ref="G612:H612"/>
    <mergeCell ref="C613:D613"/>
    <mergeCell ref="E613:F613"/>
    <mergeCell ref="G613:H613"/>
    <mergeCell ref="C615:D615"/>
    <mergeCell ref="E615:F615"/>
    <mergeCell ref="G615:H615"/>
    <mergeCell ref="G604:H604"/>
    <mergeCell ref="I604:J604"/>
    <mergeCell ref="K604:M604"/>
    <mergeCell ref="C606:D606"/>
    <mergeCell ref="E606:F606"/>
    <mergeCell ref="G606:H606"/>
    <mergeCell ref="I606:J606"/>
    <mergeCell ref="K606:M606"/>
    <mergeCell ref="E586:F586"/>
    <mergeCell ref="G586:H586"/>
    <mergeCell ref="C587:D587"/>
    <mergeCell ref="E587:F587"/>
    <mergeCell ref="G587:H587"/>
    <mergeCell ref="C589:D589"/>
    <mergeCell ref="E589:F589"/>
    <mergeCell ref="G589:H589"/>
    <mergeCell ref="C591:D591"/>
    <mergeCell ref="E591:F591"/>
    <mergeCell ref="G591:H591"/>
    <mergeCell ref="C598:D598"/>
    <mergeCell ref="E598:F598"/>
    <mergeCell ref="G598:H598"/>
    <mergeCell ref="B599:M599"/>
    <mergeCell ref="C600:D600"/>
    <mergeCell ref="E600:F600"/>
    <mergeCell ref="G600:H600"/>
    <mergeCell ref="I600:J600"/>
    <mergeCell ref="K600:M600"/>
    <mergeCell ref="C593:D593"/>
    <mergeCell ref="C595:D595"/>
    <mergeCell ref="C597:D597"/>
    <mergeCell ref="E593:F593"/>
    <mergeCell ref="G593:H593"/>
    <mergeCell ref="E595:F595"/>
    <mergeCell ref="G595:H595"/>
    <mergeCell ref="E597:F597"/>
    <mergeCell ref="G597:H597"/>
    <mergeCell ref="C579:D579"/>
    <mergeCell ref="E579:F579"/>
    <mergeCell ref="G579:H579"/>
    <mergeCell ref="E580:F580"/>
    <mergeCell ref="G580:H580"/>
    <mergeCell ref="C581:D581"/>
    <mergeCell ref="E581:F581"/>
    <mergeCell ref="G581:H581"/>
    <mergeCell ref="E582:F582"/>
    <mergeCell ref="G582:H582"/>
    <mergeCell ref="C583:D583"/>
    <mergeCell ref="E583:F583"/>
    <mergeCell ref="G583:H583"/>
    <mergeCell ref="E584:F584"/>
    <mergeCell ref="G584:H584"/>
    <mergeCell ref="C585:D585"/>
    <mergeCell ref="E585:F585"/>
    <mergeCell ref="G585:H585"/>
    <mergeCell ref="E572:F572"/>
    <mergeCell ref="G572:H572"/>
    <mergeCell ref="C573:D573"/>
    <mergeCell ref="E573:F573"/>
    <mergeCell ref="G573:H573"/>
    <mergeCell ref="E574:F574"/>
    <mergeCell ref="G574:H574"/>
    <mergeCell ref="C575:D575"/>
    <mergeCell ref="E575:F575"/>
    <mergeCell ref="G575:H575"/>
    <mergeCell ref="E576:F576"/>
    <mergeCell ref="G576:H576"/>
    <mergeCell ref="C577:D577"/>
    <mergeCell ref="E577:F577"/>
    <mergeCell ref="G577:H577"/>
    <mergeCell ref="E578:F578"/>
    <mergeCell ref="G578:H578"/>
    <mergeCell ref="C566:D566"/>
    <mergeCell ref="E566:F566"/>
    <mergeCell ref="G566:H566"/>
    <mergeCell ref="C567:D567"/>
    <mergeCell ref="E567:F567"/>
    <mergeCell ref="G567:H567"/>
    <mergeCell ref="E568:F568"/>
    <mergeCell ref="G568:H568"/>
    <mergeCell ref="C569:D569"/>
    <mergeCell ref="E569:F569"/>
    <mergeCell ref="G569:H569"/>
    <mergeCell ref="C570:D570"/>
    <mergeCell ref="E570:F570"/>
    <mergeCell ref="G570:H570"/>
    <mergeCell ref="C571:D571"/>
    <mergeCell ref="E571:F571"/>
    <mergeCell ref="G571:H571"/>
    <mergeCell ref="C535:D535"/>
    <mergeCell ref="E535:F535"/>
    <mergeCell ref="G535:H535"/>
    <mergeCell ref="I535:J535"/>
    <mergeCell ref="K535:M535"/>
    <mergeCell ref="B532:M532"/>
    <mergeCell ref="C533:D533"/>
    <mergeCell ref="E533:F533"/>
    <mergeCell ref="G533:H533"/>
    <mergeCell ref="I533:J533"/>
    <mergeCell ref="K533:M533"/>
    <mergeCell ref="C562:J562"/>
    <mergeCell ref="D563:E563"/>
    <mergeCell ref="C565:D565"/>
    <mergeCell ref="E565:F565"/>
    <mergeCell ref="G565:H565"/>
    <mergeCell ref="I565:M565"/>
    <mergeCell ref="C542:D542"/>
    <mergeCell ref="E542:F542"/>
    <mergeCell ref="G542:H542"/>
    <mergeCell ref="E549:F549"/>
    <mergeCell ref="G549:H549"/>
    <mergeCell ref="C550:D550"/>
    <mergeCell ref="E550:F550"/>
    <mergeCell ref="G550:H550"/>
    <mergeCell ref="C560:D560"/>
    <mergeCell ref="E560:F560"/>
    <mergeCell ref="G560:H560"/>
    <mergeCell ref="I560:J560"/>
    <mergeCell ref="K560:M560"/>
    <mergeCell ref="C555:D555"/>
    <mergeCell ref="E555:F555"/>
    <mergeCell ref="C522:D522"/>
    <mergeCell ref="E522:F522"/>
    <mergeCell ref="G522:H522"/>
    <mergeCell ref="C527:D527"/>
    <mergeCell ref="E527:F527"/>
    <mergeCell ref="G527:H527"/>
    <mergeCell ref="C524:D524"/>
    <mergeCell ref="C526:D526"/>
    <mergeCell ref="E524:F524"/>
    <mergeCell ref="E526:F526"/>
    <mergeCell ref="G524:H524"/>
    <mergeCell ref="G526:H526"/>
    <mergeCell ref="C530:D530"/>
    <mergeCell ref="E530:F530"/>
    <mergeCell ref="G530:H530"/>
    <mergeCell ref="I530:J530"/>
    <mergeCell ref="K530:M530"/>
    <mergeCell ref="B528:M528"/>
    <mergeCell ref="C529:D529"/>
    <mergeCell ref="E529:F529"/>
    <mergeCell ref="G529:H529"/>
    <mergeCell ref="I529:J529"/>
    <mergeCell ref="K529:M529"/>
    <mergeCell ref="E515:F515"/>
    <mergeCell ref="G515:H515"/>
    <mergeCell ref="C516:D516"/>
    <mergeCell ref="E516:F516"/>
    <mergeCell ref="G516:H516"/>
    <mergeCell ref="E513:F513"/>
    <mergeCell ref="G513:H513"/>
    <mergeCell ref="C514:D514"/>
    <mergeCell ref="E514:F514"/>
    <mergeCell ref="G514:H514"/>
    <mergeCell ref="E519:F519"/>
    <mergeCell ref="G519:H519"/>
    <mergeCell ref="C520:D520"/>
    <mergeCell ref="E520:F520"/>
    <mergeCell ref="G520:H520"/>
    <mergeCell ref="E517:F517"/>
    <mergeCell ref="G517:H517"/>
    <mergeCell ref="C518:D518"/>
    <mergeCell ref="E518:F518"/>
    <mergeCell ref="G518:H518"/>
    <mergeCell ref="E507:F507"/>
    <mergeCell ref="G507:H507"/>
    <mergeCell ref="C508:D508"/>
    <mergeCell ref="E508:F508"/>
    <mergeCell ref="G508:H508"/>
    <mergeCell ref="E505:F505"/>
    <mergeCell ref="G505:H505"/>
    <mergeCell ref="C506:D506"/>
    <mergeCell ref="E506:F506"/>
    <mergeCell ref="G506:H506"/>
    <mergeCell ref="E511:F511"/>
    <mergeCell ref="G511:H511"/>
    <mergeCell ref="C512:D512"/>
    <mergeCell ref="E512:F512"/>
    <mergeCell ref="G512:H512"/>
    <mergeCell ref="E509:F509"/>
    <mergeCell ref="G509:H509"/>
    <mergeCell ref="C510:D510"/>
    <mergeCell ref="E510:F510"/>
    <mergeCell ref="G510:H510"/>
    <mergeCell ref="C499:D499"/>
    <mergeCell ref="E499:F499"/>
    <mergeCell ref="G499:H499"/>
    <mergeCell ref="C500:D500"/>
    <mergeCell ref="E500:F500"/>
    <mergeCell ref="G500:H500"/>
    <mergeCell ref="C495:J495"/>
    <mergeCell ref="D496:E496"/>
    <mergeCell ref="C498:D498"/>
    <mergeCell ref="E498:F498"/>
    <mergeCell ref="G498:H498"/>
    <mergeCell ref="I498:M498"/>
    <mergeCell ref="E503:F503"/>
    <mergeCell ref="G503:H503"/>
    <mergeCell ref="C504:D504"/>
    <mergeCell ref="E504:F504"/>
    <mergeCell ref="G504:H504"/>
    <mergeCell ref="E501:F501"/>
    <mergeCell ref="G501:H501"/>
    <mergeCell ref="C502:D502"/>
    <mergeCell ref="E502:F502"/>
    <mergeCell ref="G502:H502"/>
    <mergeCell ref="B482:M482"/>
    <mergeCell ref="C483:D483"/>
    <mergeCell ref="E483:F483"/>
    <mergeCell ref="G483:H483"/>
    <mergeCell ref="I483:J483"/>
    <mergeCell ref="K483:M483"/>
    <mergeCell ref="C480:D480"/>
    <mergeCell ref="E480:F480"/>
    <mergeCell ref="G480:H480"/>
    <mergeCell ref="I480:J480"/>
    <mergeCell ref="K480:M480"/>
    <mergeCell ref="C485:D485"/>
    <mergeCell ref="E485:F485"/>
    <mergeCell ref="G485:H485"/>
    <mergeCell ref="I485:J485"/>
    <mergeCell ref="K485:M485"/>
    <mergeCell ref="C484:D484"/>
    <mergeCell ref="E484:F484"/>
    <mergeCell ref="G484:H484"/>
    <mergeCell ref="I484:J484"/>
    <mergeCell ref="K484:M484"/>
    <mergeCell ref="E471:F471"/>
    <mergeCell ref="G471:H471"/>
    <mergeCell ref="C472:D472"/>
    <mergeCell ref="E472:F472"/>
    <mergeCell ref="G472:H472"/>
    <mergeCell ref="E469:F469"/>
    <mergeCell ref="G469:H469"/>
    <mergeCell ref="C470:D470"/>
    <mergeCell ref="E470:F470"/>
    <mergeCell ref="G470:H470"/>
    <mergeCell ref="B478:M478"/>
    <mergeCell ref="C479:D479"/>
    <mergeCell ref="E479:F479"/>
    <mergeCell ref="G479:H479"/>
    <mergeCell ref="I479:J479"/>
    <mergeCell ref="K479:M479"/>
    <mergeCell ref="C474:D474"/>
    <mergeCell ref="E474:F474"/>
    <mergeCell ref="G474:H474"/>
    <mergeCell ref="C477:D477"/>
    <mergeCell ref="E477:F477"/>
    <mergeCell ref="G477:H477"/>
    <mergeCell ref="C476:D476"/>
    <mergeCell ref="E476:F476"/>
    <mergeCell ref="G476:H476"/>
    <mergeCell ref="E463:F463"/>
    <mergeCell ref="G463:H463"/>
    <mergeCell ref="C464:D464"/>
    <mergeCell ref="E464:F464"/>
    <mergeCell ref="G464:H464"/>
    <mergeCell ref="E461:F461"/>
    <mergeCell ref="G461:H461"/>
    <mergeCell ref="C462:D462"/>
    <mergeCell ref="E462:F462"/>
    <mergeCell ref="G462:H462"/>
    <mergeCell ref="E467:F467"/>
    <mergeCell ref="G467:H467"/>
    <mergeCell ref="C468:D468"/>
    <mergeCell ref="E468:F468"/>
    <mergeCell ref="G468:H468"/>
    <mergeCell ref="E465:F465"/>
    <mergeCell ref="G465:H465"/>
    <mergeCell ref="C466:D466"/>
    <mergeCell ref="E466:F466"/>
    <mergeCell ref="G466:H466"/>
    <mergeCell ref="E455:F455"/>
    <mergeCell ref="G455:H455"/>
    <mergeCell ref="C456:D456"/>
    <mergeCell ref="E456:F456"/>
    <mergeCell ref="G456:H456"/>
    <mergeCell ref="C455:D455"/>
    <mergeCell ref="E453:F453"/>
    <mergeCell ref="G453:H453"/>
    <mergeCell ref="C454:D454"/>
    <mergeCell ref="E454:F454"/>
    <mergeCell ref="G454:H454"/>
    <mergeCell ref="E459:F459"/>
    <mergeCell ref="G459:H459"/>
    <mergeCell ref="C460:D460"/>
    <mergeCell ref="E460:F460"/>
    <mergeCell ref="G460:H460"/>
    <mergeCell ref="E457:F457"/>
    <mergeCell ref="G457:H457"/>
    <mergeCell ref="C458:D458"/>
    <mergeCell ref="E458:F458"/>
    <mergeCell ref="G458:H458"/>
    <mergeCell ref="C445:D445"/>
    <mergeCell ref="E445:F445"/>
    <mergeCell ref="G445:H445"/>
    <mergeCell ref="I445:J445"/>
    <mergeCell ref="K445:M445"/>
    <mergeCell ref="B443:M443"/>
    <mergeCell ref="C444:D444"/>
    <mergeCell ref="E444:F444"/>
    <mergeCell ref="G444:H444"/>
    <mergeCell ref="I444:J444"/>
    <mergeCell ref="K444:M444"/>
    <mergeCell ref="C451:D451"/>
    <mergeCell ref="E451:F451"/>
    <mergeCell ref="G451:H451"/>
    <mergeCell ref="C452:D452"/>
    <mergeCell ref="E452:F452"/>
    <mergeCell ref="G452:H452"/>
    <mergeCell ref="C447:J447"/>
    <mergeCell ref="D448:E448"/>
    <mergeCell ref="C450:D450"/>
    <mergeCell ref="E450:F450"/>
    <mergeCell ref="G450:H450"/>
    <mergeCell ref="I450:M450"/>
    <mergeCell ref="E437:F437"/>
    <mergeCell ref="G437:H437"/>
    <mergeCell ref="C438:D438"/>
    <mergeCell ref="E438:F438"/>
    <mergeCell ref="G438:H438"/>
    <mergeCell ref="E435:F435"/>
    <mergeCell ref="G435:H435"/>
    <mergeCell ref="C436:D436"/>
    <mergeCell ref="E436:F436"/>
    <mergeCell ref="G436:H436"/>
    <mergeCell ref="C441:D441"/>
    <mergeCell ref="E441:F441"/>
    <mergeCell ref="G441:H441"/>
    <mergeCell ref="I441:J441"/>
    <mergeCell ref="K441:M441"/>
    <mergeCell ref="B439:M439"/>
    <mergeCell ref="C440:D440"/>
    <mergeCell ref="E440:F440"/>
    <mergeCell ref="G440:H440"/>
    <mergeCell ref="I440:J440"/>
    <mergeCell ref="K440:M440"/>
    <mergeCell ref="E429:F429"/>
    <mergeCell ref="G429:H429"/>
    <mergeCell ref="C430:D430"/>
    <mergeCell ref="E430:F430"/>
    <mergeCell ref="G430:H430"/>
    <mergeCell ref="E427:F427"/>
    <mergeCell ref="G427:H427"/>
    <mergeCell ref="C428:D428"/>
    <mergeCell ref="E428:F428"/>
    <mergeCell ref="G428:H428"/>
    <mergeCell ref="E433:F433"/>
    <mergeCell ref="G433:H433"/>
    <mergeCell ref="C434:D434"/>
    <mergeCell ref="E434:F434"/>
    <mergeCell ref="G434:H434"/>
    <mergeCell ref="E431:F431"/>
    <mergeCell ref="G431:H431"/>
    <mergeCell ref="C432:D432"/>
    <mergeCell ref="E432:F432"/>
    <mergeCell ref="G432:H432"/>
    <mergeCell ref="C419:J419"/>
    <mergeCell ref="D420:E420"/>
    <mergeCell ref="C422:D422"/>
    <mergeCell ref="E422:F422"/>
    <mergeCell ref="G422:H422"/>
    <mergeCell ref="I422:M422"/>
    <mergeCell ref="C417:D417"/>
    <mergeCell ref="E417:F417"/>
    <mergeCell ref="G417:H417"/>
    <mergeCell ref="I417:J417"/>
    <mergeCell ref="K417:M417"/>
    <mergeCell ref="E425:F425"/>
    <mergeCell ref="G425:H425"/>
    <mergeCell ref="C426:D426"/>
    <mergeCell ref="E426:F426"/>
    <mergeCell ref="G426:H426"/>
    <mergeCell ref="C423:D423"/>
    <mergeCell ref="E423:F423"/>
    <mergeCell ref="G423:H423"/>
    <mergeCell ref="C424:D424"/>
    <mergeCell ref="E424:F424"/>
    <mergeCell ref="G424:H424"/>
    <mergeCell ref="B410:M410"/>
    <mergeCell ref="B414:M414"/>
    <mergeCell ref="C415:D415"/>
    <mergeCell ref="E415:F415"/>
    <mergeCell ref="G415:H415"/>
    <mergeCell ref="I415:J415"/>
    <mergeCell ref="K415:M415"/>
    <mergeCell ref="C412:D412"/>
    <mergeCell ref="E412:F412"/>
    <mergeCell ref="G412:H412"/>
    <mergeCell ref="I412:J412"/>
    <mergeCell ref="K412:M412"/>
    <mergeCell ref="B374:M374"/>
    <mergeCell ref="C375:D375"/>
    <mergeCell ref="E375:F375"/>
    <mergeCell ref="G375:H375"/>
    <mergeCell ref="I375:J375"/>
    <mergeCell ref="K375:M375"/>
    <mergeCell ref="B379:M379"/>
    <mergeCell ref="C380:D380"/>
    <mergeCell ref="E380:F380"/>
    <mergeCell ref="G380:H380"/>
    <mergeCell ref="I380:J380"/>
    <mergeCell ref="K380:M380"/>
    <mergeCell ref="C381:D381"/>
    <mergeCell ref="E381:F381"/>
    <mergeCell ref="G381:H381"/>
    <mergeCell ref="I381:J381"/>
    <mergeCell ref="D389:E389"/>
    <mergeCell ref="C391:D391"/>
    <mergeCell ref="E391:I391"/>
    <mergeCell ref="C392:D392"/>
    <mergeCell ref="K381:M381"/>
    <mergeCell ref="B383:M383"/>
    <mergeCell ref="C384:D384"/>
    <mergeCell ref="E384:F384"/>
    <mergeCell ref="G384:H384"/>
    <mergeCell ref="I384:J384"/>
    <mergeCell ref="K384:M384"/>
    <mergeCell ref="C385:D385"/>
    <mergeCell ref="E385:F385"/>
    <mergeCell ref="G385:H385"/>
    <mergeCell ref="I385:J385"/>
    <mergeCell ref="K385:M385"/>
    <mergeCell ref="C376:D376"/>
    <mergeCell ref="E376:F376"/>
    <mergeCell ref="G376:H376"/>
    <mergeCell ref="I376:J376"/>
    <mergeCell ref="K376:M376"/>
    <mergeCell ref="E363:F363"/>
    <mergeCell ref="G363:H363"/>
    <mergeCell ref="C364:D364"/>
    <mergeCell ref="E364:F364"/>
    <mergeCell ref="G364:H364"/>
    <mergeCell ref="B370:M370"/>
    <mergeCell ref="C371:D371"/>
    <mergeCell ref="E371:F371"/>
    <mergeCell ref="G371:H371"/>
    <mergeCell ref="I371:J371"/>
    <mergeCell ref="K371:M371"/>
    <mergeCell ref="E367:F367"/>
    <mergeCell ref="G367:H367"/>
    <mergeCell ref="C368:D368"/>
    <mergeCell ref="E368:F368"/>
    <mergeCell ref="G368:H368"/>
    <mergeCell ref="E357:F357"/>
    <mergeCell ref="G357:H357"/>
    <mergeCell ref="C358:D358"/>
    <mergeCell ref="E358:F358"/>
    <mergeCell ref="G358:H358"/>
    <mergeCell ref="E365:F365"/>
    <mergeCell ref="G365:H365"/>
    <mergeCell ref="C366:D366"/>
    <mergeCell ref="E366:F366"/>
    <mergeCell ref="G366:H366"/>
    <mergeCell ref="E355:F355"/>
    <mergeCell ref="G355:H355"/>
    <mergeCell ref="C356:D356"/>
    <mergeCell ref="E356:F356"/>
    <mergeCell ref="G356:H356"/>
    <mergeCell ref="E361:F361"/>
    <mergeCell ref="G361:H361"/>
    <mergeCell ref="C362:D362"/>
    <mergeCell ref="E362:F362"/>
    <mergeCell ref="G362:H362"/>
    <mergeCell ref="E359:F359"/>
    <mergeCell ref="G359:H359"/>
    <mergeCell ref="C360:D360"/>
    <mergeCell ref="E360:F360"/>
    <mergeCell ref="G360:H360"/>
    <mergeCell ref="E349:F349"/>
    <mergeCell ref="G349:H349"/>
    <mergeCell ref="C350:D350"/>
    <mergeCell ref="E350:F350"/>
    <mergeCell ref="G350:H350"/>
    <mergeCell ref="C347:D347"/>
    <mergeCell ref="E347:F347"/>
    <mergeCell ref="G347:H347"/>
    <mergeCell ref="C348:D348"/>
    <mergeCell ref="E348:F348"/>
    <mergeCell ref="G348:H348"/>
    <mergeCell ref="E353:F353"/>
    <mergeCell ref="G353:H353"/>
    <mergeCell ref="C354:D354"/>
    <mergeCell ref="E354:F354"/>
    <mergeCell ref="G354:H354"/>
    <mergeCell ref="E351:F351"/>
    <mergeCell ref="G351:H351"/>
    <mergeCell ref="C352:D352"/>
    <mergeCell ref="E352:F352"/>
    <mergeCell ref="G352:H352"/>
    <mergeCell ref="B338:M338"/>
    <mergeCell ref="C339:D339"/>
    <mergeCell ref="E339:F339"/>
    <mergeCell ref="G339:H339"/>
    <mergeCell ref="I339:J339"/>
    <mergeCell ref="K339:M339"/>
    <mergeCell ref="C340:D340"/>
    <mergeCell ref="E340:F340"/>
    <mergeCell ref="G340:H340"/>
    <mergeCell ref="I340:J340"/>
    <mergeCell ref="K340:M340"/>
    <mergeCell ref="C336:D336"/>
    <mergeCell ref="E336:F336"/>
    <mergeCell ref="G336:H336"/>
    <mergeCell ref="I336:J336"/>
    <mergeCell ref="K336:M336"/>
    <mergeCell ref="C343:J343"/>
    <mergeCell ref="D344:E344"/>
    <mergeCell ref="C346:D346"/>
    <mergeCell ref="E346:F346"/>
    <mergeCell ref="G346:H346"/>
    <mergeCell ref="I346:M346"/>
    <mergeCell ref="C341:D341"/>
    <mergeCell ref="E341:F341"/>
    <mergeCell ref="G341:H341"/>
    <mergeCell ref="I341:J341"/>
    <mergeCell ref="K341:M341"/>
    <mergeCell ref="C326:D326"/>
    <mergeCell ref="C327:D327"/>
    <mergeCell ref="E327:F327"/>
    <mergeCell ref="C329:D329"/>
    <mergeCell ref="E329:F329"/>
    <mergeCell ref="D323:E323"/>
    <mergeCell ref="C325:D325"/>
    <mergeCell ref="E325:F325"/>
    <mergeCell ref="G325:K325"/>
    <mergeCell ref="B334:M334"/>
    <mergeCell ref="C335:D335"/>
    <mergeCell ref="E335:F335"/>
    <mergeCell ref="G335:H335"/>
    <mergeCell ref="I335:J335"/>
    <mergeCell ref="K335:M335"/>
    <mergeCell ref="E330:F330"/>
    <mergeCell ref="C331:D331"/>
    <mergeCell ref="E331:F331"/>
    <mergeCell ref="C330:D330"/>
    <mergeCell ref="C315:D315"/>
    <mergeCell ref="E315:F315"/>
    <mergeCell ref="G315:H315"/>
    <mergeCell ref="I315:J315"/>
    <mergeCell ref="K315:M315"/>
    <mergeCell ref="B313:M313"/>
    <mergeCell ref="C314:D314"/>
    <mergeCell ref="E314:F314"/>
    <mergeCell ref="G314:H314"/>
    <mergeCell ref="I314:J314"/>
    <mergeCell ref="K314:M314"/>
    <mergeCell ref="C322:M322"/>
    <mergeCell ref="C320:D320"/>
    <mergeCell ref="E320:F320"/>
    <mergeCell ref="G320:H320"/>
    <mergeCell ref="I320:J320"/>
    <mergeCell ref="K320:M320"/>
    <mergeCell ref="B317:M317"/>
    <mergeCell ref="C318:D318"/>
    <mergeCell ref="E318:F318"/>
    <mergeCell ref="G318:H318"/>
    <mergeCell ref="I318:J318"/>
    <mergeCell ref="K318:M318"/>
    <mergeCell ref="C319:D319"/>
    <mergeCell ref="E319:F319"/>
    <mergeCell ref="G319:H319"/>
    <mergeCell ref="I319:J319"/>
    <mergeCell ref="K319:M319"/>
    <mergeCell ref="E302:F302"/>
    <mergeCell ref="G302:H302"/>
    <mergeCell ref="C303:D303"/>
    <mergeCell ref="E303:F303"/>
    <mergeCell ref="G303:H303"/>
    <mergeCell ref="C298:D298"/>
    <mergeCell ref="C299:D299"/>
    <mergeCell ref="E299:F299"/>
    <mergeCell ref="G299:H299"/>
    <mergeCell ref="C301:D301"/>
    <mergeCell ref="E301:F301"/>
    <mergeCell ref="G301:H301"/>
    <mergeCell ref="C309:D309"/>
    <mergeCell ref="E309:F309"/>
    <mergeCell ref="G309:H309"/>
    <mergeCell ref="C311:D311"/>
    <mergeCell ref="E311:F311"/>
    <mergeCell ref="G311:H311"/>
    <mergeCell ref="C305:D305"/>
    <mergeCell ref="E305:F305"/>
    <mergeCell ref="G305:H305"/>
    <mergeCell ref="C307:D307"/>
    <mergeCell ref="E307:F307"/>
    <mergeCell ref="G307:H307"/>
    <mergeCell ref="B289:M289"/>
    <mergeCell ref="C290:D290"/>
    <mergeCell ref="E290:F290"/>
    <mergeCell ref="G290:H290"/>
    <mergeCell ref="I290:J290"/>
    <mergeCell ref="K290:M290"/>
    <mergeCell ref="C287:D287"/>
    <mergeCell ref="E287:F287"/>
    <mergeCell ref="G287:H287"/>
    <mergeCell ref="I287:J287"/>
    <mergeCell ref="K287:M287"/>
    <mergeCell ref="C294:J294"/>
    <mergeCell ref="D295:E295"/>
    <mergeCell ref="C297:D297"/>
    <mergeCell ref="E297:F297"/>
    <mergeCell ref="G297:H297"/>
    <mergeCell ref="I297:M297"/>
    <mergeCell ref="C292:D292"/>
    <mergeCell ref="E292:F292"/>
    <mergeCell ref="G292:H292"/>
    <mergeCell ref="I292:J292"/>
    <mergeCell ref="K292:M292"/>
    <mergeCell ref="C291:D291"/>
    <mergeCell ref="E291:F291"/>
    <mergeCell ref="G291:H291"/>
    <mergeCell ref="I291:J291"/>
    <mergeCell ref="K291:M291"/>
    <mergeCell ref="C277:D277"/>
    <mergeCell ref="E277:F277"/>
    <mergeCell ref="G277:H277"/>
    <mergeCell ref="C279:D279"/>
    <mergeCell ref="E279:F279"/>
    <mergeCell ref="G279:H279"/>
    <mergeCell ref="E274:F274"/>
    <mergeCell ref="G274:H274"/>
    <mergeCell ref="C275:D275"/>
    <mergeCell ref="E275:F275"/>
    <mergeCell ref="G275:H275"/>
    <mergeCell ref="C281:D281"/>
    <mergeCell ref="E281:F281"/>
    <mergeCell ref="G281:H281"/>
    <mergeCell ref="B285:M285"/>
    <mergeCell ref="C286:D286"/>
    <mergeCell ref="E286:F286"/>
    <mergeCell ref="G286:H286"/>
    <mergeCell ref="I286:J286"/>
    <mergeCell ref="K286:M286"/>
    <mergeCell ref="C283:D283"/>
    <mergeCell ref="E283:F283"/>
    <mergeCell ref="G283:H283"/>
    <mergeCell ref="C270:D270"/>
    <mergeCell ref="C271:D271"/>
    <mergeCell ref="E271:F271"/>
    <mergeCell ref="G271:H271"/>
    <mergeCell ref="C273:D273"/>
    <mergeCell ref="E273:F273"/>
    <mergeCell ref="G273:H273"/>
    <mergeCell ref="C266:J266"/>
    <mergeCell ref="D267:E267"/>
    <mergeCell ref="C269:D269"/>
    <mergeCell ref="E269:F269"/>
    <mergeCell ref="G269:H269"/>
    <mergeCell ref="I269:M269"/>
    <mergeCell ref="C263:D263"/>
    <mergeCell ref="E263:F263"/>
    <mergeCell ref="G263:H263"/>
    <mergeCell ref="I263:J263"/>
    <mergeCell ref="K263:M263"/>
    <mergeCell ref="E249:F249"/>
    <mergeCell ref="G249:H249"/>
    <mergeCell ref="B257:M257"/>
    <mergeCell ref="C258:D258"/>
    <mergeCell ref="E258:F258"/>
    <mergeCell ref="G258:H258"/>
    <mergeCell ref="I258:J258"/>
    <mergeCell ref="K258:M258"/>
    <mergeCell ref="C251:D251"/>
    <mergeCell ref="C253:D253"/>
    <mergeCell ref="E251:F251"/>
    <mergeCell ref="E253:F253"/>
    <mergeCell ref="G251:H251"/>
    <mergeCell ref="G253:H253"/>
    <mergeCell ref="C264:D264"/>
    <mergeCell ref="E264:F264"/>
    <mergeCell ref="G264:H264"/>
    <mergeCell ref="I264:J264"/>
    <mergeCell ref="K264:M264"/>
    <mergeCell ref="B261:M261"/>
    <mergeCell ref="C262:D262"/>
    <mergeCell ref="E262:F262"/>
    <mergeCell ref="G262:H262"/>
    <mergeCell ref="I262:J262"/>
    <mergeCell ref="K262:M262"/>
    <mergeCell ref="E246:F246"/>
    <mergeCell ref="G246:H246"/>
    <mergeCell ref="C247:D247"/>
    <mergeCell ref="E247:F247"/>
    <mergeCell ref="G247:H247"/>
    <mergeCell ref="C243:D243"/>
    <mergeCell ref="E243:F243"/>
    <mergeCell ref="G243:H243"/>
    <mergeCell ref="C245:D245"/>
    <mergeCell ref="E245:F245"/>
    <mergeCell ref="G245:H245"/>
    <mergeCell ref="C259:D259"/>
    <mergeCell ref="E259:F259"/>
    <mergeCell ref="G259:H259"/>
    <mergeCell ref="I259:J259"/>
    <mergeCell ref="G215:H215"/>
    <mergeCell ref="C241:D241"/>
    <mergeCell ref="E241:F241"/>
    <mergeCell ref="G241:H241"/>
    <mergeCell ref="I241:M241"/>
    <mergeCell ref="C242:D242"/>
    <mergeCell ref="C217:D217"/>
    <mergeCell ref="E217:F217"/>
    <mergeCell ref="G217:H217"/>
    <mergeCell ref="C238:J238"/>
    <mergeCell ref="D239:E239"/>
    <mergeCell ref="C228:D228"/>
    <mergeCell ref="E228:F228"/>
    <mergeCell ref="G228:H228"/>
    <mergeCell ref="I228:J228"/>
    <mergeCell ref="K259:M259"/>
    <mergeCell ref="C249:D249"/>
    <mergeCell ref="K228:M228"/>
    <mergeCell ref="C227:D227"/>
    <mergeCell ref="E227:F227"/>
    <mergeCell ref="G227:H227"/>
    <mergeCell ref="I227:J227"/>
    <mergeCell ref="K227:M227"/>
    <mergeCell ref="B225:M225"/>
    <mergeCell ref="C226:D226"/>
    <mergeCell ref="E226:F226"/>
    <mergeCell ref="G226:H226"/>
    <mergeCell ref="C236:D236"/>
    <mergeCell ref="E236:F236"/>
    <mergeCell ref="G236:H236"/>
    <mergeCell ref="I236:J236"/>
    <mergeCell ref="K236:M236"/>
    <mergeCell ref="C237:D237"/>
    <mergeCell ref="E237:F237"/>
    <mergeCell ref="I237:J237"/>
    <mergeCell ref="K237:M237"/>
    <mergeCell ref="G237:H237"/>
    <mergeCell ref="B230:M230"/>
    <mergeCell ref="C231:D231"/>
    <mergeCell ref="E231:F231"/>
    <mergeCell ref="G231:H231"/>
    <mergeCell ref="I231:J231"/>
    <mergeCell ref="K231:M231"/>
    <mergeCell ref="C232:D232"/>
    <mergeCell ref="E232:F232"/>
    <mergeCell ref="G232:H232"/>
    <mergeCell ref="I232:J232"/>
    <mergeCell ref="K232:M232"/>
    <mergeCell ref="B234:M234"/>
    <mergeCell ref="I226:J226"/>
    <mergeCell ref="K226:M226"/>
    <mergeCell ref="C223:D223"/>
    <mergeCell ref="E223:F223"/>
    <mergeCell ref="G223:H223"/>
    <mergeCell ref="I223:J223"/>
    <mergeCell ref="K223:M223"/>
    <mergeCell ref="B221:M221"/>
    <mergeCell ref="C222:D222"/>
    <mergeCell ref="E222:F222"/>
    <mergeCell ref="G222:H222"/>
    <mergeCell ref="I222:J222"/>
    <mergeCell ref="K222:M222"/>
    <mergeCell ref="E214:F214"/>
    <mergeCell ref="G214:H214"/>
    <mergeCell ref="C215:D215"/>
    <mergeCell ref="E215:F215"/>
    <mergeCell ref="C173:D173"/>
    <mergeCell ref="E173:F173"/>
    <mergeCell ref="G173:H173"/>
    <mergeCell ref="I173:J173"/>
    <mergeCell ref="E204:F204"/>
    <mergeCell ref="G204:H204"/>
    <mergeCell ref="I204:J204"/>
    <mergeCell ref="K204:M204"/>
    <mergeCell ref="C203:D203"/>
    <mergeCell ref="E203:F203"/>
    <mergeCell ref="G203:H203"/>
    <mergeCell ref="I203:J203"/>
    <mergeCell ref="K203:M203"/>
    <mergeCell ref="C211:D211"/>
    <mergeCell ref="E211:F211"/>
    <mergeCell ref="G211:H211"/>
    <mergeCell ref="C213:D213"/>
    <mergeCell ref="E213:F213"/>
    <mergeCell ref="G213:H213"/>
    <mergeCell ref="C210:D210"/>
    <mergeCell ref="C182:D182"/>
    <mergeCell ref="E182:F182"/>
    <mergeCell ref="C199:D199"/>
    <mergeCell ref="E199:F199"/>
    <mergeCell ref="G199:H199"/>
    <mergeCell ref="I199:J199"/>
    <mergeCell ref="K199:M199"/>
    <mergeCell ref="B197:M197"/>
    <mergeCell ref="C198:D198"/>
    <mergeCell ref="E198:F198"/>
    <mergeCell ref="G198:H198"/>
    <mergeCell ref="I198:J198"/>
    <mergeCell ref="K198:M198"/>
    <mergeCell ref="C186:D186"/>
    <mergeCell ref="C188:D188"/>
    <mergeCell ref="C190:D190"/>
    <mergeCell ref="C192:D192"/>
    <mergeCell ref="E186:F186"/>
    <mergeCell ref="E188:F188"/>
    <mergeCell ref="E190:F190"/>
    <mergeCell ref="E192:F192"/>
    <mergeCell ref="I146:M146"/>
    <mergeCell ref="C159:D159"/>
    <mergeCell ref="C175:J175"/>
    <mergeCell ref="D176:E176"/>
    <mergeCell ref="C178:D178"/>
    <mergeCell ref="E178:F178"/>
    <mergeCell ref="E148:F148"/>
    <mergeCell ref="G148:H148"/>
    <mergeCell ref="E150:F150"/>
    <mergeCell ref="G150:H150"/>
    <mergeCell ref="E159:F159"/>
    <mergeCell ref="G159:H159"/>
    <mergeCell ref="I159:J159"/>
    <mergeCell ref="K159:M159"/>
    <mergeCell ref="E183:F183"/>
    <mergeCell ref="C165:D165"/>
    <mergeCell ref="E165:F165"/>
    <mergeCell ref="G165:H165"/>
    <mergeCell ref="I165:J165"/>
    <mergeCell ref="K165:M165"/>
    <mergeCell ref="C164:D164"/>
    <mergeCell ref="E164:F164"/>
    <mergeCell ref="G164:H164"/>
    <mergeCell ref="C140:D140"/>
    <mergeCell ref="E140:F140"/>
    <mergeCell ref="G140:H140"/>
    <mergeCell ref="I140:J140"/>
    <mergeCell ref="K140:M140"/>
    <mergeCell ref="B138:M138"/>
    <mergeCell ref="C139:D139"/>
    <mergeCell ref="E139:F139"/>
    <mergeCell ref="G139:H139"/>
    <mergeCell ref="I139:J139"/>
    <mergeCell ref="K139:M139"/>
    <mergeCell ref="I160:J160"/>
    <mergeCell ref="K160:M160"/>
    <mergeCell ref="C147:D147"/>
    <mergeCell ref="C150:D150"/>
    <mergeCell ref="C152:D152"/>
    <mergeCell ref="B158:M158"/>
    <mergeCell ref="E151:F151"/>
    <mergeCell ref="G151:H151"/>
    <mergeCell ref="E152:F152"/>
    <mergeCell ref="G152:H152"/>
    <mergeCell ref="C141:D141"/>
    <mergeCell ref="E141:F141"/>
    <mergeCell ref="G141:H141"/>
    <mergeCell ref="I141:J141"/>
    <mergeCell ref="K141:M141"/>
    <mergeCell ref="C148:D148"/>
    <mergeCell ref="C146:D146"/>
    <mergeCell ref="E146:F146"/>
    <mergeCell ref="C143:J143"/>
    <mergeCell ref="D144:E144"/>
    <mergeCell ref="G146:H146"/>
    <mergeCell ref="C105:D105"/>
    <mergeCell ref="E105:F105"/>
    <mergeCell ref="G105:H105"/>
    <mergeCell ref="I105:J105"/>
    <mergeCell ref="K105:M105"/>
    <mergeCell ref="C95:D95"/>
    <mergeCell ref="E95:F95"/>
    <mergeCell ref="B103:M103"/>
    <mergeCell ref="C104:D104"/>
    <mergeCell ref="E104:F104"/>
    <mergeCell ref="C136:D136"/>
    <mergeCell ref="E136:F136"/>
    <mergeCell ref="G136:H136"/>
    <mergeCell ref="I136:J136"/>
    <mergeCell ref="K136:M136"/>
    <mergeCell ref="B134:M134"/>
    <mergeCell ref="C135:D135"/>
    <mergeCell ref="E135:F135"/>
    <mergeCell ref="G135:H135"/>
    <mergeCell ref="I135:J135"/>
    <mergeCell ref="K135:M135"/>
    <mergeCell ref="C109:D109"/>
    <mergeCell ref="E109:F109"/>
    <mergeCell ref="G109:H109"/>
    <mergeCell ref="I109:J109"/>
    <mergeCell ref="K109:M109"/>
    <mergeCell ref="B107:M107"/>
    <mergeCell ref="C108:D108"/>
    <mergeCell ref="E108:F108"/>
    <mergeCell ref="G108:H108"/>
    <mergeCell ref="I108:J108"/>
    <mergeCell ref="K108:M108"/>
    <mergeCell ref="C122:D122"/>
    <mergeCell ref="C120:D120"/>
    <mergeCell ref="C118:D118"/>
    <mergeCell ref="C115:D115"/>
    <mergeCell ref="C116:D116"/>
    <mergeCell ref="C111:J111"/>
    <mergeCell ref="D112:E112"/>
    <mergeCell ref="C114:D114"/>
    <mergeCell ref="E114:I114"/>
    <mergeCell ref="E87:F87"/>
    <mergeCell ref="B64:M64"/>
    <mergeCell ref="C65:D65"/>
    <mergeCell ref="E65:F65"/>
    <mergeCell ref="G65:H65"/>
    <mergeCell ref="I65:J65"/>
    <mergeCell ref="K65:M65"/>
    <mergeCell ref="G75:M75"/>
    <mergeCell ref="C72:M72"/>
    <mergeCell ref="I66:J66"/>
    <mergeCell ref="K66:M66"/>
    <mergeCell ref="C89:D89"/>
    <mergeCell ref="E89:F89"/>
    <mergeCell ref="G70:H70"/>
    <mergeCell ref="I70:J70"/>
    <mergeCell ref="K70:M70"/>
    <mergeCell ref="B68:M68"/>
    <mergeCell ref="C69:D69"/>
    <mergeCell ref="E69:F69"/>
    <mergeCell ref="G69:H69"/>
    <mergeCell ref="G104:H104"/>
    <mergeCell ref="I104:J104"/>
    <mergeCell ref="K104:M104"/>
    <mergeCell ref="C97:D97"/>
    <mergeCell ref="E97:F97"/>
    <mergeCell ref="C99:D99"/>
    <mergeCell ref="E99:F99"/>
    <mergeCell ref="C101:D101"/>
    <mergeCell ref="E101:F101"/>
    <mergeCell ref="K37:M37"/>
    <mergeCell ref="I32:J32"/>
    <mergeCell ref="K31:M31"/>
    <mergeCell ref="K32:M32"/>
    <mergeCell ref="I35:J35"/>
    <mergeCell ref="I36:J36"/>
    <mergeCell ref="K35:M35"/>
    <mergeCell ref="K36:M36"/>
    <mergeCell ref="B34:M34"/>
    <mergeCell ref="I31:J31"/>
    <mergeCell ref="G36:H36"/>
    <mergeCell ref="C56:D56"/>
    <mergeCell ref="C46:D46"/>
    <mergeCell ref="C48:D48"/>
    <mergeCell ref="C91:D91"/>
    <mergeCell ref="E91:F91"/>
    <mergeCell ref="C93:D93"/>
    <mergeCell ref="E93:F93"/>
    <mergeCell ref="C83:D83"/>
    <mergeCell ref="E83:F83"/>
    <mergeCell ref="C85:D85"/>
    <mergeCell ref="E85:F85"/>
    <mergeCell ref="C87:D87"/>
    <mergeCell ref="G23:H23"/>
    <mergeCell ref="C77:D77"/>
    <mergeCell ref="E77:F77"/>
    <mergeCell ref="C79:D79"/>
    <mergeCell ref="E79:F79"/>
    <mergeCell ref="C81:D81"/>
    <mergeCell ref="E81:F81"/>
    <mergeCell ref="D73:E73"/>
    <mergeCell ref="C75:D75"/>
    <mergeCell ref="E75:F75"/>
    <mergeCell ref="C32:D32"/>
    <mergeCell ref="E32:F32"/>
    <mergeCell ref="G32:H32"/>
    <mergeCell ref="E56:F56"/>
    <mergeCell ref="E58:F58"/>
    <mergeCell ref="E60:F60"/>
    <mergeCell ref="E62:F62"/>
    <mergeCell ref="G42:M42"/>
    <mergeCell ref="E46:F46"/>
    <mergeCell ref="E48:F48"/>
    <mergeCell ref="E50:F50"/>
    <mergeCell ref="I69:J69"/>
    <mergeCell ref="C5:D5"/>
    <mergeCell ref="E13:F13"/>
    <mergeCell ref="G12:H12"/>
    <mergeCell ref="G13:H13"/>
    <mergeCell ref="C8:D8"/>
    <mergeCell ref="D40:E40"/>
    <mergeCell ref="C42:D42"/>
    <mergeCell ref="E42:F42"/>
    <mergeCell ref="C44:D44"/>
    <mergeCell ref="E44:F44"/>
    <mergeCell ref="C26:D26"/>
    <mergeCell ref="C28:D28"/>
    <mergeCell ref="E28:F28"/>
    <mergeCell ref="G28:H28"/>
    <mergeCell ref="C39:J39"/>
    <mergeCell ref="I37:J37"/>
    <mergeCell ref="B30:M30"/>
    <mergeCell ref="C10:D10"/>
    <mergeCell ref="C12:D12"/>
    <mergeCell ref="C14:D14"/>
    <mergeCell ref="C16:D16"/>
    <mergeCell ref="C18:D18"/>
    <mergeCell ref="G22:H22"/>
    <mergeCell ref="G29:H29"/>
    <mergeCell ref="E26:F26"/>
    <mergeCell ref="E29:F29"/>
    <mergeCell ref="E19:F19"/>
    <mergeCell ref="E20:F20"/>
    <mergeCell ref="E21:F21"/>
    <mergeCell ref="E22:F22"/>
    <mergeCell ref="E23:F23"/>
    <mergeCell ref="E24:F24"/>
    <mergeCell ref="O1:Z1"/>
    <mergeCell ref="O2:Z2"/>
    <mergeCell ref="C1:J1"/>
    <mergeCell ref="D2:E2"/>
    <mergeCell ref="C6:D6"/>
    <mergeCell ref="I4:M4"/>
    <mergeCell ref="G14:H14"/>
    <mergeCell ref="G15:H15"/>
    <mergeCell ref="G16:H16"/>
    <mergeCell ref="G17:H17"/>
    <mergeCell ref="G18:H18"/>
    <mergeCell ref="G5:H5"/>
    <mergeCell ref="G6:H6"/>
    <mergeCell ref="G7:H7"/>
    <mergeCell ref="G8:H8"/>
    <mergeCell ref="G9:H9"/>
    <mergeCell ref="G10:H10"/>
    <mergeCell ref="G11:H11"/>
    <mergeCell ref="E14:F14"/>
    <mergeCell ref="C4:D4"/>
    <mergeCell ref="E4:F4"/>
    <mergeCell ref="G4:H4"/>
    <mergeCell ref="E15:F15"/>
    <mergeCell ref="E16:F16"/>
    <mergeCell ref="E17:F17"/>
    <mergeCell ref="E18:F18"/>
    <mergeCell ref="E5:F5"/>
    <mergeCell ref="E6:F6"/>
    <mergeCell ref="E7:F7"/>
    <mergeCell ref="E8:F8"/>
    <mergeCell ref="E9:F9"/>
    <mergeCell ref="E10:F10"/>
    <mergeCell ref="I540:M540"/>
    <mergeCell ref="C541:D541"/>
    <mergeCell ref="E541:F541"/>
    <mergeCell ref="G541:H541"/>
    <mergeCell ref="C537:J537"/>
    <mergeCell ref="C37:D37"/>
    <mergeCell ref="E37:F37"/>
    <mergeCell ref="G37:H37"/>
    <mergeCell ref="G31:H31"/>
    <mergeCell ref="C35:D35"/>
    <mergeCell ref="E35:F35"/>
    <mergeCell ref="G35:H35"/>
    <mergeCell ref="C36:D36"/>
    <mergeCell ref="E36:F36"/>
    <mergeCell ref="C24:D24"/>
    <mergeCell ref="G24:H24"/>
    <mergeCell ref="G25:H25"/>
    <mergeCell ref="G26:H26"/>
    <mergeCell ref="G178:M178"/>
    <mergeCell ref="C31:D31"/>
    <mergeCell ref="E31:F31"/>
    <mergeCell ref="E25:F25"/>
    <mergeCell ref="C29:D29"/>
    <mergeCell ref="K69:M69"/>
    <mergeCell ref="C66:D66"/>
    <mergeCell ref="E66:F66"/>
    <mergeCell ref="G66:H66"/>
    <mergeCell ref="C62:D62"/>
    <mergeCell ref="C58:D58"/>
    <mergeCell ref="C60:D60"/>
    <mergeCell ref="C52:D52"/>
    <mergeCell ref="C54:D54"/>
    <mergeCell ref="E11:F11"/>
    <mergeCell ref="E12:F12"/>
    <mergeCell ref="C20:D20"/>
    <mergeCell ref="C22:D22"/>
    <mergeCell ref="G548:H548"/>
    <mergeCell ref="E543:F543"/>
    <mergeCell ref="G543:H543"/>
    <mergeCell ref="C544:D544"/>
    <mergeCell ref="E544:F544"/>
    <mergeCell ref="G544:H544"/>
    <mergeCell ref="E545:F545"/>
    <mergeCell ref="G545:H545"/>
    <mergeCell ref="C546:D546"/>
    <mergeCell ref="E546:F546"/>
    <mergeCell ref="G546:H546"/>
    <mergeCell ref="D538:E538"/>
    <mergeCell ref="C540:D540"/>
    <mergeCell ref="E540:F540"/>
    <mergeCell ref="G540:H540"/>
    <mergeCell ref="C545:D545"/>
    <mergeCell ref="E547:F547"/>
    <mergeCell ref="G547:H547"/>
    <mergeCell ref="C548:D548"/>
    <mergeCell ref="E548:F548"/>
    <mergeCell ref="G19:H19"/>
    <mergeCell ref="G20:H20"/>
    <mergeCell ref="G21:H21"/>
    <mergeCell ref="C50:D50"/>
    <mergeCell ref="E52:F52"/>
    <mergeCell ref="E54:F54"/>
    <mergeCell ref="C70:D70"/>
    <mergeCell ref="E70:F70"/>
    <mergeCell ref="G555:H555"/>
    <mergeCell ref="I555:J555"/>
    <mergeCell ref="K555:M555"/>
    <mergeCell ref="B557:M557"/>
    <mergeCell ref="C558:D558"/>
    <mergeCell ref="E558:F558"/>
    <mergeCell ref="G558:H558"/>
    <mergeCell ref="I558:J558"/>
    <mergeCell ref="K558:M558"/>
    <mergeCell ref="B553:M553"/>
    <mergeCell ref="C554:D554"/>
    <mergeCell ref="E554:F554"/>
    <mergeCell ref="G554:H554"/>
    <mergeCell ref="I554:J554"/>
    <mergeCell ref="K554:M554"/>
    <mergeCell ref="E551:F551"/>
    <mergeCell ref="G551:H551"/>
    <mergeCell ref="C552:D552"/>
    <mergeCell ref="E552:F552"/>
    <mergeCell ref="G552:H552"/>
    <mergeCell ref="C1852:J1852"/>
    <mergeCell ref="D1853:E1853"/>
    <mergeCell ref="C1855:D1855"/>
    <mergeCell ref="E1855:F1855"/>
    <mergeCell ref="G1855:H1855"/>
    <mergeCell ref="I1855:M1855"/>
    <mergeCell ref="C1856:D1856"/>
    <mergeCell ref="E1856:F1856"/>
    <mergeCell ref="G1856:H1856"/>
    <mergeCell ref="C1857:D1857"/>
    <mergeCell ref="E1857:F1857"/>
    <mergeCell ref="G1857:H1857"/>
    <mergeCell ref="E1858:F1858"/>
    <mergeCell ref="G1858:H1858"/>
    <mergeCell ref="C1859:D1859"/>
    <mergeCell ref="E1859:F1859"/>
    <mergeCell ref="G1859:H1859"/>
    <mergeCell ref="E1860:F1860"/>
    <mergeCell ref="G1860:H1860"/>
    <mergeCell ref="C1861:D1861"/>
    <mergeCell ref="E1861:F1861"/>
    <mergeCell ref="G1861:H1861"/>
    <mergeCell ref="E1862:F1862"/>
    <mergeCell ref="G1862:H1862"/>
    <mergeCell ref="C1863:D1863"/>
    <mergeCell ref="E1863:F1863"/>
    <mergeCell ref="G1863:H1863"/>
    <mergeCell ref="E1864:F1864"/>
    <mergeCell ref="G1864:H1864"/>
    <mergeCell ref="C1865:D1865"/>
    <mergeCell ref="E1865:F1865"/>
    <mergeCell ref="G1865:H1865"/>
    <mergeCell ref="E1866:F1866"/>
    <mergeCell ref="G1866:H1866"/>
    <mergeCell ref="C1867:D1867"/>
    <mergeCell ref="E1867:F1867"/>
    <mergeCell ref="G1867:H1867"/>
    <mergeCell ref="E1868:F1868"/>
    <mergeCell ref="G1868:H1868"/>
    <mergeCell ref="C1869:D1869"/>
    <mergeCell ref="E1869:F1869"/>
    <mergeCell ref="G1869:H1869"/>
    <mergeCell ref="E1870:F1870"/>
    <mergeCell ref="G1870:H1870"/>
    <mergeCell ref="C1871:D1871"/>
    <mergeCell ref="E1871:F1871"/>
    <mergeCell ref="G1871:H1871"/>
    <mergeCell ref="E1872:F1872"/>
    <mergeCell ref="G1872:H1872"/>
    <mergeCell ref="C1873:D1873"/>
    <mergeCell ref="E1873:F1873"/>
    <mergeCell ref="G1873:H1873"/>
    <mergeCell ref="E1896:F1896"/>
    <mergeCell ref="G1896:H1896"/>
    <mergeCell ref="I1896:J1896"/>
    <mergeCell ref="K1896:M1896"/>
    <mergeCell ref="E1874:F1874"/>
    <mergeCell ref="G1874:H1874"/>
    <mergeCell ref="C1875:D1875"/>
    <mergeCell ref="E1875:F1875"/>
    <mergeCell ref="G1875:H1875"/>
    <mergeCell ref="E1876:F1876"/>
    <mergeCell ref="G1876:H1876"/>
    <mergeCell ref="C1877:D1877"/>
    <mergeCell ref="E1877:F1877"/>
    <mergeCell ref="G1877:H1877"/>
    <mergeCell ref="C1879:D1879"/>
    <mergeCell ref="E1879:F1879"/>
    <mergeCell ref="G1879:H1879"/>
    <mergeCell ref="C1881:D1881"/>
    <mergeCell ref="E1881:F1881"/>
    <mergeCell ref="G1881:H1881"/>
    <mergeCell ref="C1883:D1883"/>
    <mergeCell ref="E1883:F1883"/>
    <mergeCell ref="G1883:H1883"/>
    <mergeCell ref="C1897:D1897"/>
    <mergeCell ref="E1897:F1897"/>
    <mergeCell ref="G1897:H1897"/>
    <mergeCell ref="I1897:J1897"/>
    <mergeCell ref="K1897:M1897"/>
    <mergeCell ref="C1885:D1885"/>
    <mergeCell ref="E1885:F1885"/>
    <mergeCell ref="G1885:H1885"/>
    <mergeCell ref="C1887:D1887"/>
    <mergeCell ref="E1887:F1887"/>
    <mergeCell ref="G1887:H1887"/>
    <mergeCell ref="C1889:D1889"/>
    <mergeCell ref="E1889:F1889"/>
    <mergeCell ref="G1889:H1889"/>
    <mergeCell ref="C1864:D1864"/>
    <mergeCell ref="C1872:D1872"/>
    <mergeCell ref="C1890:D1890"/>
    <mergeCell ref="E1890:F1890"/>
    <mergeCell ref="G1890:H1890"/>
    <mergeCell ref="B1891:M1891"/>
    <mergeCell ref="C1892:D1892"/>
    <mergeCell ref="E1892:F1892"/>
    <mergeCell ref="G1892:H1892"/>
    <mergeCell ref="I1892:J1892"/>
    <mergeCell ref="K1892:M1892"/>
    <mergeCell ref="C1893:D1893"/>
    <mergeCell ref="E1893:F1893"/>
    <mergeCell ref="G1893:H1893"/>
    <mergeCell ref="I1893:J1893"/>
    <mergeCell ref="K1893:M1893"/>
    <mergeCell ref="B1895:M1895"/>
    <mergeCell ref="C1896:D1896"/>
    <mergeCell ref="D1900:E1900"/>
    <mergeCell ref="C1902:D1902"/>
    <mergeCell ref="E1902:F1902"/>
    <mergeCell ref="G1902:H1902"/>
    <mergeCell ref="C1903:D1903"/>
    <mergeCell ref="E1903:F1903"/>
    <mergeCell ref="G1903:H1903"/>
    <mergeCell ref="C1904:D1904"/>
    <mergeCell ref="E1904:F1904"/>
    <mergeCell ref="G1904:H1904"/>
    <mergeCell ref="E1905:F1905"/>
    <mergeCell ref="G1905:H1905"/>
    <mergeCell ref="C1906:D1906"/>
    <mergeCell ref="E1906:F1906"/>
    <mergeCell ref="G1906:H1906"/>
    <mergeCell ref="E1907:F1907"/>
    <mergeCell ref="G1907:H1907"/>
    <mergeCell ref="C1908:D1908"/>
    <mergeCell ref="E1908:F1908"/>
    <mergeCell ref="G1908:H1908"/>
    <mergeCell ref="E1909:F1909"/>
    <mergeCell ref="G1909:H1909"/>
    <mergeCell ref="C1910:D1910"/>
    <mergeCell ref="E1910:F1910"/>
    <mergeCell ref="G1910:H1910"/>
    <mergeCell ref="C1911:D1911"/>
    <mergeCell ref="E1911:F1911"/>
    <mergeCell ref="G1911:H1911"/>
    <mergeCell ref="C1912:D1912"/>
    <mergeCell ref="E1912:F1912"/>
    <mergeCell ref="G1912:H1912"/>
    <mergeCell ref="E1913:F1913"/>
    <mergeCell ref="G1913:H1913"/>
    <mergeCell ref="C1914:D1914"/>
    <mergeCell ref="E1914:F1914"/>
    <mergeCell ref="G1914:H1914"/>
    <mergeCell ref="E1915:F1915"/>
    <mergeCell ref="G1915:H1915"/>
    <mergeCell ref="C1916:D1916"/>
    <mergeCell ref="E1916:F1916"/>
    <mergeCell ref="G1916:H1916"/>
    <mergeCell ref="E1917:F1917"/>
    <mergeCell ref="G1917:H1917"/>
    <mergeCell ref="C1918:D1918"/>
    <mergeCell ref="E1918:F1918"/>
    <mergeCell ref="G1918:H1918"/>
    <mergeCell ref="C1919:D1919"/>
    <mergeCell ref="E1919:F1919"/>
    <mergeCell ref="G1919:H1919"/>
    <mergeCell ref="C1920:D1920"/>
    <mergeCell ref="E1920:F1920"/>
    <mergeCell ref="G1920:H1920"/>
    <mergeCell ref="E1921:F1921"/>
    <mergeCell ref="G1921:H1921"/>
    <mergeCell ref="C1942:D1942"/>
    <mergeCell ref="E1942:F1942"/>
    <mergeCell ref="G1942:H1942"/>
    <mergeCell ref="C1944:D1944"/>
    <mergeCell ref="E1944:F1944"/>
    <mergeCell ref="G1944:H1944"/>
    <mergeCell ref="C1945:D1945"/>
    <mergeCell ref="E1945:F1945"/>
    <mergeCell ref="G1945:H1945"/>
    <mergeCell ref="B1946:M1946"/>
    <mergeCell ref="C1947:D1947"/>
    <mergeCell ref="E1947:F1947"/>
    <mergeCell ref="G1947:H1947"/>
    <mergeCell ref="I1947:J1947"/>
    <mergeCell ref="K1947:M1947"/>
    <mergeCell ref="C1922:D1922"/>
    <mergeCell ref="E1922:F1922"/>
    <mergeCell ref="G1922:H1922"/>
    <mergeCell ref="E1923:F1923"/>
    <mergeCell ref="G1923:H1923"/>
    <mergeCell ref="C1924:D1924"/>
    <mergeCell ref="E1924:F1924"/>
    <mergeCell ref="G1924:H1924"/>
    <mergeCell ref="C1926:D1926"/>
    <mergeCell ref="E1926:F1926"/>
    <mergeCell ref="G1926:H1926"/>
    <mergeCell ref="C1928:D1928"/>
    <mergeCell ref="E1928:F1928"/>
    <mergeCell ref="G1928:H1928"/>
    <mergeCell ref="C1938:D1938"/>
    <mergeCell ref="E1938:F1938"/>
    <mergeCell ref="G1938:H1938"/>
    <mergeCell ref="C1930:D1930"/>
    <mergeCell ref="E1930:F1930"/>
    <mergeCell ref="G1930:H1930"/>
    <mergeCell ref="C1932:D1932"/>
    <mergeCell ref="E1932:F1932"/>
    <mergeCell ref="G1932:H1932"/>
    <mergeCell ref="C1934:D1934"/>
    <mergeCell ref="E1934:F1934"/>
    <mergeCell ref="G1934:H1934"/>
    <mergeCell ref="C1936:D1936"/>
    <mergeCell ref="E1936:F1936"/>
    <mergeCell ref="G1936:H1936"/>
    <mergeCell ref="C1937:D1937"/>
    <mergeCell ref="E1937:F1937"/>
    <mergeCell ref="G1937:H1937"/>
    <mergeCell ref="C1940:D1940"/>
    <mergeCell ref="E1940:F1940"/>
    <mergeCell ref="G1940:H1940"/>
    <mergeCell ref="I1902:M1902"/>
    <mergeCell ref="C1899:J1899"/>
    <mergeCell ref="B1844:M1844"/>
    <mergeCell ref="I1820:M1820"/>
    <mergeCell ref="B1737:M1737"/>
    <mergeCell ref="I1665:M1665"/>
    <mergeCell ref="I1614:M1614"/>
    <mergeCell ref="B1522:M1522"/>
    <mergeCell ref="I1502:M1502"/>
    <mergeCell ref="I1454:M1454"/>
    <mergeCell ref="I1373:M1373"/>
    <mergeCell ref="B1361:M1361"/>
    <mergeCell ref="C1320:D1320"/>
    <mergeCell ref="E1320:F1320"/>
    <mergeCell ref="G1320:H1320"/>
    <mergeCell ref="D1956:E1956"/>
    <mergeCell ref="C1948:D1948"/>
    <mergeCell ref="E1948:F1948"/>
    <mergeCell ref="G1948:H1948"/>
    <mergeCell ref="I1948:J1948"/>
    <mergeCell ref="K1948:M1948"/>
    <mergeCell ref="B1950:M1950"/>
    <mergeCell ref="C1951:D1951"/>
    <mergeCell ref="E1951:F1951"/>
    <mergeCell ref="G1951:H1951"/>
    <mergeCell ref="I1951:J1951"/>
    <mergeCell ref="K1951:M1951"/>
    <mergeCell ref="C1953:D1953"/>
    <mergeCell ref="E1953:F1953"/>
    <mergeCell ref="G1953:H1953"/>
    <mergeCell ref="I1953:J1953"/>
    <mergeCell ref="K1953:M1953"/>
    <mergeCell ref="C1987:D1987"/>
    <mergeCell ref="E1987:F1987"/>
    <mergeCell ref="G1987:H1987"/>
    <mergeCell ref="C1964:D1964"/>
    <mergeCell ref="E1964:F1964"/>
    <mergeCell ref="G1964:H1964"/>
    <mergeCell ref="E1965:F1965"/>
    <mergeCell ref="G1965:H1965"/>
    <mergeCell ref="C1966:D1966"/>
    <mergeCell ref="E1966:F1966"/>
    <mergeCell ref="G1966:H1966"/>
    <mergeCell ref="C1972:D1972"/>
    <mergeCell ref="E1972:F1972"/>
    <mergeCell ref="G1972:H1972"/>
    <mergeCell ref="C1958:D1958"/>
    <mergeCell ref="E1958:F1958"/>
    <mergeCell ref="G1958:H1958"/>
    <mergeCell ref="C1959:D1959"/>
    <mergeCell ref="E1959:F1959"/>
    <mergeCell ref="G1959:H1959"/>
    <mergeCell ref="C1960:D1960"/>
    <mergeCell ref="E1960:F1960"/>
    <mergeCell ref="G1960:H1960"/>
    <mergeCell ref="E1961:F1961"/>
    <mergeCell ref="G1961:H1961"/>
    <mergeCell ref="C1962:D1962"/>
    <mergeCell ref="E1962:F1962"/>
    <mergeCell ref="G1962:H1962"/>
    <mergeCell ref="E1963:F1963"/>
    <mergeCell ref="G1963:H1963"/>
    <mergeCell ref="B1977:M1977"/>
    <mergeCell ref="C1978:D1978"/>
    <mergeCell ref="E1996:F1996"/>
    <mergeCell ref="G1996:H1996"/>
    <mergeCell ref="E1998:F1998"/>
    <mergeCell ref="G1998:H1998"/>
    <mergeCell ref="E2000:F2000"/>
    <mergeCell ref="G2000:H2000"/>
    <mergeCell ref="C1989:D1989"/>
    <mergeCell ref="E1989:F1989"/>
    <mergeCell ref="G1989:H1989"/>
    <mergeCell ref="C1991:D1991"/>
    <mergeCell ref="E1991:F1991"/>
    <mergeCell ref="G1991:H1991"/>
    <mergeCell ref="C1993:D1993"/>
    <mergeCell ref="E1993:F1993"/>
    <mergeCell ref="G1993:H1993"/>
    <mergeCell ref="C1994:D1994"/>
    <mergeCell ref="E1994:F1994"/>
    <mergeCell ref="G1994:H1994"/>
    <mergeCell ref="C1995:D1995"/>
    <mergeCell ref="E1995:F1995"/>
    <mergeCell ref="G1995:H1995"/>
    <mergeCell ref="C1997:D1997"/>
    <mergeCell ref="E1997:F1997"/>
    <mergeCell ref="G1997:H1997"/>
    <mergeCell ref="C1999:D1999"/>
    <mergeCell ref="E1999:F1999"/>
    <mergeCell ref="G1999:H1999"/>
    <mergeCell ref="E1978:F1978"/>
    <mergeCell ref="G1978:H1978"/>
    <mergeCell ref="I1978:J1978"/>
    <mergeCell ref="K1978:M1978"/>
    <mergeCell ref="C1980:D1980"/>
    <mergeCell ref="E1980:F1980"/>
    <mergeCell ref="G1980:H1980"/>
    <mergeCell ref="I1980:J1980"/>
    <mergeCell ref="K1980:M1980"/>
    <mergeCell ref="C1955:K1955"/>
    <mergeCell ref="D1983:E1983"/>
    <mergeCell ref="I1985:M1985"/>
    <mergeCell ref="C1986:D1986"/>
    <mergeCell ref="E1986:F1986"/>
    <mergeCell ref="G1986:H1986"/>
    <mergeCell ref="B1973:M1973"/>
    <mergeCell ref="C1974:D1974"/>
    <mergeCell ref="E1974:F1974"/>
    <mergeCell ref="G1974:H1974"/>
    <mergeCell ref="I1974:J1974"/>
    <mergeCell ref="K1974:M1974"/>
    <mergeCell ref="C1975:D1975"/>
    <mergeCell ref="E1975:F1975"/>
    <mergeCell ref="G1975:H1975"/>
    <mergeCell ref="I1975:J1975"/>
    <mergeCell ref="K1975:M1975"/>
    <mergeCell ref="C1985:D1985"/>
    <mergeCell ref="E1985:F1985"/>
    <mergeCell ref="G1985:H1985"/>
    <mergeCell ref="I1958:M1958"/>
    <mergeCell ref="C1982:L1982"/>
    <mergeCell ref="C1979:D1979"/>
    <mergeCell ref="E2029:F2029"/>
    <mergeCell ref="G2029:H2029"/>
    <mergeCell ref="C2030:D2030"/>
    <mergeCell ref="E2030:F2030"/>
    <mergeCell ref="G2030:H2030"/>
    <mergeCell ref="C2013:D2013"/>
    <mergeCell ref="E2013:F2013"/>
    <mergeCell ref="G2013:H2013"/>
    <mergeCell ref="C2003:D2003"/>
    <mergeCell ref="E2003:F2003"/>
    <mergeCell ref="G2003:H2003"/>
    <mergeCell ref="E2004:F2004"/>
    <mergeCell ref="G2004:H2004"/>
    <mergeCell ref="C2005:D2005"/>
    <mergeCell ref="E2005:F2005"/>
    <mergeCell ref="G2005:H2005"/>
    <mergeCell ref="E2006:F2006"/>
    <mergeCell ref="G2006:H2006"/>
    <mergeCell ref="C2007:D2007"/>
    <mergeCell ref="E2007:F2007"/>
    <mergeCell ref="G2007:H2007"/>
    <mergeCell ref="C2009:D2009"/>
    <mergeCell ref="E2009:F2009"/>
    <mergeCell ref="G2009:H2009"/>
    <mergeCell ref="C2011:D2011"/>
    <mergeCell ref="E2011:F2011"/>
    <mergeCell ref="G2011:H2011"/>
    <mergeCell ref="C2027:D2027"/>
    <mergeCell ref="E2027:F2027"/>
    <mergeCell ref="G2027:H2027"/>
    <mergeCell ref="C2028:D2028"/>
    <mergeCell ref="E2028:F2028"/>
    <mergeCell ref="G2028:H2028"/>
    <mergeCell ref="B2015:M2015"/>
    <mergeCell ref="C2016:D2016"/>
    <mergeCell ref="E2016:F2016"/>
    <mergeCell ref="G2016:H2016"/>
    <mergeCell ref="I2016:J2016"/>
    <mergeCell ref="K2016:M2016"/>
    <mergeCell ref="C2023:L2023"/>
    <mergeCell ref="D2024:E2024"/>
    <mergeCell ref="C2026:D2026"/>
    <mergeCell ref="E2026:F2026"/>
    <mergeCell ref="G2026:H2026"/>
    <mergeCell ref="I2026:M2026"/>
    <mergeCell ref="C2017:D2017"/>
    <mergeCell ref="E2017:F2017"/>
    <mergeCell ref="G2017:H2017"/>
    <mergeCell ref="I2017:J2017"/>
    <mergeCell ref="K2017:M2017"/>
    <mergeCell ref="B2019:M2019"/>
    <mergeCell ref="C2020:D2020"/>
    <mergeCell ref="E2020:F2020"/>
    <mergeCell ref="G2020:H2020"/>
    <mergeCell ref="I2020:J2020"/>
    <mergeCell ref="K2020:M2020"/>
    <mergeCell ref="C2021:D2021"/>
    <mergeCell ref="E2021:F2021"/>
    <mergeCell ref="G2021:H2021"/>
    <mergeCell ref="I2021:J2021"/>
    <mergeCell ref="K2021:M2021"/>
    <mergeCell ref="C2001:D2001"/>
    <mergeCell ref="E2001:F2001"/>
    <mergeCell ref="G2001:H2001"/>
    <mergeCell ref="C2002:D2002"/>
    <mergeCell ref="E2002:F2002"/>
    <mergeCell ref="G2002:H2002"/>
    <mergeCell ref="E1988:F1988"/>
    <mergeCell ref="G1988:H1988"/>
    <mergeCell ref="E1990:F1990"/>
    <mergeCell ref="G1990:H1990"/>
    <mergeCell ref="E1992:F1992"/>
    <mergeCell ref="G1992:H1992"/>
    <mergeCell ref="C2044:D2044"/>
    <mergeCell ref="E2044:F2044"/>
    <mergeCell ref="G2044:H2044"/>
    <mergeCell ref="E2031:F2031"/>
    <mergeCell ref="G2031:H2031"/>
    <mergeCell ref="C2032:D2032"/>
    <mergeCell ref="E2032:F2032"/>
    <mergeCell ref="G2032:H2032"/>
    <mergeCell ref="E2033:F2033"/>
    <mergeCell ref="G2033:H2033"/>
    <mergeCell ref="C2034:D2034"/>
    <mergeCell ref="E2034:F2034"/>
    <mergeCell ref="G2034:H2034"/>
    <mergeCell ref="C2035:D2035"/>
    <mergeCell ref="E2035:F2035"/>
    <mergeCell ref="G2035:H2035"/>
    <mergeCell ref="C2036:D2036"/>
    <mergeCell ref="E2036:F2036"/>
    <mergeCell ref="G2036:H2036"/>
    <mergeCell ref="E2037:F2037"/>
    <mergeCell ref="G2037:H2037"/>
    <mergeCell ref="E2045:F2045"/>
    <mergeCell ref="G2045:H2045"/>
    <mergeCell ref="C2046:D2046"/>
    <mergeCell ref="E2046:F2046"/>
    <mergeCell ref="G2046:H2046"/>
    <mergeCell ref="E2047:F2047"/>
    <mergeCell ref="G2047:H2047"/>
    <mergeCell ref="C2048:D2048"/>
    <mergeCell ref="E2048:F2048"/>
    <mergeCell ref="G2048:H2048"/>
    <mergeCell ref="C2050:D2050"/>
    <mergeCell ref="E2050:F2050"/>
    <mergeCell ref="G2050:H2050"/>
    <mergeCell ref="C2052:D2052"/>
    <mergeCell ref="E2052:F2052"/>
    <mergeCell ref="G2052:H2052"/>
    <mergeCell ref="C2038:D2038"/>
    <mergeCell ref="E2038:F2038"/>
    <mergeCell ref="G2038:H2038"/>
    <mergeCell ref="E2039:F2039"/>
    <mergeCell ref="G2039:H2039"/>
    <mergeCell ref="C2040:D2040"/>
    <mergeCell ref="E2040:F2040"/>
    <mergeCell ref="G2040:H2040"/>
    <mergeCell ref="E2041:F2041"/>
    <mergeCell ref="G2041:H2041"/>
    <mergeCell ref="C2042:D2042"/>
    <mergeCell ref="E2042:F2042"/>
    <mergeCell ref="G2042:H2042"/>
    <mergeCell ref="C2043:D2043"/>
    <mergeCell ref="E2043:F2043"/>
    <mergeCell ref="G2043:H2043"/>
    <mergeCell ref="B2054:M2054"/>
    <mergeCell ref="C2055:D2055"/>
    <mergeCell ref="E2055:F2055"/>
    <mergeCell ref="G2055:H2055"/>
    <mergeCell ref="I2055:J2055"/>
    <mergeCell ref="K2055:M2055"/>
    <mergeCell ref="C2056:D2056"/>
    <mergeCell ref="E2056:F2056"/>
    <mergeCell ref="G2056:H2056"/>
    <mergeCell ref="I2056:J2056"/>
    <mergeCell ref="K2056:M2056"/>
    <mergeCell ref="B2058:M2058"/>
    <mergeCell ref="C2059:D2059"/>
    <mergeCell ref="E2059:F2059"/>
    <mergeCell ref="G2059:H2059"/>
    <mergeCell ref="I2059:J2059"/>
    <mergeCell ref="K2059:M2059"/>
    <mergeCell ref="C2060:D2060"/>
    <mergeCell ref="E2060:F2060"/>
    <mergeCell ref="G2060:H2060"/>
    <mergeCell ref="I2060:J2060"/>
    <mergeCell ref="K2060:M2060"/>
    <mergeCell ref="C2062:L2062"/>
    <mergeCell ref="D2063:E2063"/>
    <mergeCell ref="C2065:D2065"/>
    <mergeCell ref="E2065:F2065"/>
    <mergeCell ref="G2065:H2065"/>
    <mergeCell ref="I2065:M2065"/>
    <mergeCell ref="C2066:D2066"/>
    <mergeCell ref="E2066:F2066"/>
    <mergeCell ref="G2066:H2066"/>
    <mergeCell ref="C2067:D2067"/>
    <mergeCell ref="E2067:F2067"/>
    <mergeCell ref="G2067:H2067"/>
    <mergeCell ref="E2068:F2068"/>
    <mergeCell ref="G2068:H2068"/>
    <mergeCell ref="C2069:D2069"/>
    <mergeCell ref="E2069:F2069"/>
    <mergeCell ref="G2069:H2069"/>
    <mergeCell ref="E2070:F2070"/>
    <mergeCell ref="G2070:H2070"/>
    <mergeCell ref="C2071:D2071"/>
    <mergeCell ref="E2071:F2071"/>
    <mergeCell ref="G2071:H2071"/>
    <mergeCell ref="E2072:F2072"/>
    <mergeCell ref="G2072:H2072"/>
    <mergeCell ref="C2073:D2073"/>
    <mergeCell ref="E2073:F2073"/>
    <mergeCell ref="G2073:H2073"/>
    <mergeCell ref="C2074:D2074"/>
    <mergeCell ref="E2074:F2074"/>
    <mergeCell ref="G2074:H2074"/>
    <mergeCell ref="C2075:D2075"/>
    <mergeCell ref="E2075:F2075"/>
    <mergeCell ref="G2075:H2075"/>
    <mergeCell ref="E2076:F2076"/>
    <mergeCell ref="G2076:H2076"/>
    <mergeCell ref="C2077:D2077"/>
    <mergeCell ref="E2077:F2077"/>
    <mergeCell ref="G2077:H2077"/>
    <mergeCell ref="E2078:F2078"/>
    <mergeCell ref="G2078:H2078"/>
    <mergeCell ref="C2079:D2079"/>
    <mergeCell ref="E2079:F2079"/>
    <mergeCell ref="G2079:H2079"/>
    <mergeCell ref="E2080:F2080"/>
    <mergeCell ref="G2080:H2080"/>
    <mergeCell ref="C2081:D2081"/>
    <mergeCell ref="E2081:F2081"/>
    <mergeCell ref="G2081:H2081"/>
    <mergeCell ref="C2082:D2082"/>
    <mergeCell ref="E2082:F2082"/>
    <mergeCell ref="G2082:H2082"/>
    <mergeCell ref="C2083:D2083"/>
    <mergeCell ref="E2083:F2083"/>
    <mergeCell ref="G2083:H2083"/>
    <mergeCell ref="E2084:F2084"/>
    <mergeCell ref="G2084:H2084"/>
    <mergeCell ref="C2085:D2085"/>
    <mergeCell ref="E2085:F2085"/>
    <mergeCell ref="G2085:H2085"/>
    <mergeCell ref="E2086:F2086"/>
    <mergeCell ref="G2086:H2086"/>
    <mergeCell ref="C2087:D2087"/>
    <mergeCell ref="E2087:F2087"/>
    <mergeCell ref="G2087:H2087"/>
    <mergeCell ref="C2089:D2089"/>
    <mergeCell ref="E2089:F2089"/>
    <mergeCell ref="G2089:H2089"/>
    <mergeCell ref="C2091:D2091"/>
    <mergeCell ref="E2091:F2091"/>
    <mergeCell ref="G2091:H2091"/>
    <mergeCell ref="B2099:M2099"/>
    <mergeCell ref="C2100:D2100"/>
    <mergeCell ref="E2100:F2100"/>
    <mergeCell ref="G2100:H2100"/>
    <mergeCell ref="I2100:J2100"/>
    <mergeCell ref="K2100:M2100"/>
    <mergeCell ref="C2101:D2101"/>
    <mergeCell ref="E2101:F2101"/>
    <mergeCell ref="G2101:H2101"/>
    <mergeCell ref="I2101:J2101"/>
    <mergeCell ref="K2101:M2101"/>
    <mergeCell ref="B2103:M2103"/>
    <mergeCell ref="C2104:D2104"/>
    <mergeCell ref="E2104:F2104"/>
    <mergeCell ref="G2104:H2104"/>
    <mergeCell ref="I2104:J2104"/>
    <mergeCell ref="K2104:M2104"/>
    <mergeCell ref="C2105:D2105"/>
    <mergeCell ref="E2105:F2105"/>
    <mergeCell ref="G2105:H2105"/>
    <mergeCell ref="I2105:J2105"/>
    <mergeCell ref="K2105:M2105"/>
    <mergeCell ref="C2093:D2093"/>
    <mergeCell ref="E2093:F2093"/>
    <mergeCell ref="G2093:H2093"/>
    <mergeCell ref="C2095:D2095"/>
    <mergeCell ref="E2095:F2095"/>
    <mergeCell ref="G2095:H2095"/>
    <mergeCell ref="C2097:D2097"/>
    <mergeCell ref="E2097:F2097"/>
    <mergeCell ref="G2097:H2097"/>
    <mergeCell ref="C2107:L2107"/>
    <mergeCell ref="F2108:G2108"/>
    <mergeCell ref="C2110:D2110"/>
    <mergeCell ref="E2110:F2110"/>
    <mergeCell ref="G2110:H2110"/>
    <mergeCell ref="I2110:M2110"/>
    <mergeCell ref="C2108:D2108"/>
    <mergeCell ref="C2111:D2111"/>
    <mergeCell ref="E2111:F2111"/>
    <mergeCell ref="G2111:H2111"/>
    <mergeCell ref="C2112:D2112"/>
    <mergeCell ref="E2112:F2112"/>
    <mergeCell ref="G2112:H2112"/>
    <mergeCell ref="E2113:F2113"/>
    <mergeCell ref="G2113:H2113"/>
    <mergeCell ref="C2114:D2114"/>
    <mergeCell ref="E2114:F2114"/>
    <mergeCell ref="G2114:H2114"/>
    <mergeCell ref="E2115:F2115"/>
    <mergeCell ref="G2115:H2115"/>
    <mergeCell ref="C2116:D2116"/>
    <mergeCell ref="E2116:F2116"/>
    <mergeCell ref="G2116:H2116"/>
    <mergeCell ref="E2117:F2117"/>
    <mergeCell ref="G2117:H2117"/>
    <mergeCell ref="C2113:D2113"/>
    <mergeCell ref="C2118:D2118"/>
    <mergeCell ref="E2118:F2118"/>
    <mergeCell ref="G2118:H2118"/>
    <mergeCell ref="C2119:D2119"/>
    <mergeCell ref="E2119:F2119"/>
    <mergeCell ref="G2119:H2119"/>
    <mergeCell ref="C2120:D2120"/>
    <mergeCell ref="E2120:F2120"/>
    <mergeCell ref="G2120:H2120"/>
    <mergeCell ref="E2121:F2121"/>
    <mergeCell ref="G2121:H2121"/>
    <mergeCell ref="C2122:D2122"/>
    <mergeCell ref="E2122:F2122"/>
    <mergeCell ref="G2122:H2122"/>
    <mergeCell ref="E2123:F2123"/>
    <mergeCell ref="G2123:H2123"/>
    <mergeCell ref="C2124:D2124"/>
    <mergeCell ref="E2124:F2124"/>
    <mergeCell ref="G2124:H2124"/>
    <mergeCell ref="E2125:F2125"/>
    <mergeCell ref="G2125:H2125"/>
    <mergeCell ref="C2126:D2126"/>
    <mergeCell ref="E2126:F2126"/>
    <mergeCell ref="G2126:H2126"/>
    <mergeCell ref="C2127:D2127"/>
    <mergeCell ref="E2127:F2127"/>
    <mergeCell ref="G2127:H2127"/>
    <mergeCell ref="C2134:D2134"/>
    <mergeCell ref="E2134:F2134"/>
    <mergeCell ref="G2134:H2134"/>
    <mergeCell ref="I2134:J2134"/>
    <mergeCell ref="K2134:M2134"/>
    <mergeCell ref="C2136:J2136"/>
    <mergeCell ref="D2137:E2137"/>
    <mergeCell ref="C2139:D2139"/>
    <mergeCell ref="E2139:F2139"/>
    <mergeCell ref="G2139:H2139"/>
    <mergeCell ref="I2139:M2139"/>
    <mergeCell ref="C2143:D2143"/>
    <mergeCell ref="E2143:F2143"/>
    <mergeCell ref="G2143:H2143"/>
    <mergeCell ref="B2128:M2128"/>
    <mergeCell ref="C2129:D2129"/>
    <mergeCell ref="E2129:F2129"/>
    <mergeCell ref="G2129:H2129"/>
    <mergeCell ref="I2129:J2129"/>
    <mergeCell ref="K2129:M2129"/>
    <mergeCell ref="C2130:D2130"/>
    <mergeCell ref="E2130:F2130"/>
    <mergeCell ref="G2130:H2130"/>
    <mergeCell ref="I2130:J2130"/>
    <mergeCell ref="K2130:M2130"/>
    <mergeCell ref="B2132:M2132"/>
    <mergeCell ref="C2133:D2133"/>
    <mergeCell ref="C2144:D2144"/>
    <mergeCell ref="E2144:F2144"/>
    <mergeCell ref="G2144:H2144"/>
    <mergeCell ref="E2133:F2133"/>
    <mergeCell ref="G2133:H2133"/>
    <mergeCell ref="I2133:J2133"/>
    <mergeCell ref="K2133:M2133"/>
    <mergeCell ref="C2140:D2140"/>
    <mergeCell ref="E2140:F2140"/>
    <mergeCell ref="G2140:H2140"/>
    <mergeCell ref="E2142:F2142"/>
    <mergeCell ref="G2142:H2142"/>
    <mergeCell ref="C2141:D2141"/>
    <mergeCell ref="E2141:F2141"/>
    <mergeCell ref="G2141:H2141"/>
    <mergeCell ref="C2145:D2145"/>
    <mergeCell ref="E2145:F2145"/>
    <mergeCell ref="G2145:H2145"/>
    <mergeCell ref="E2146:F2146"/>
    <mergeCell ref="G2146:H2146"/>
    <mergeCell ref="C2147:D2147"/>
    <mergeCell ref="E2147:F2147"/>
    <mergeCell ref="G2147:H2147"/>
    <mergeCell ref="E2148:F2148"/>
    <mergeCell ref="G2148:H2148"/>
    <mergeCell ref="C2149:D2149"/>
    <mergeCell ref="E2149:F2149"/>
    <mergeCell ref="G2149:H2149"/>
    <mergeCell ref="E2150:F2150"/>
    <mergeCell ref="G2150:H2150"/>
    <mergeCell ref="C2151:D2151"/>
    <mergeCell ref="E2151:F2151"/>
    <mergeCell ref="G2151:H2151"/>
    <mergeCell ref="E2152:F2152"/>
    <mergeCell ref="G2152:H2152"/>
    <mergeCell ref="C2153:D2153"/>
    <mergeCell ref="E2153:F2153"/>
    <mergeCell ref="G2153:H2153"/>
    <mergeCell ref="E2154:F2154"/>
    <mergeCell ref="G2154:H2154"/>
    <mergeCell ref="C2155:D2155"/>
    <mergeCell ref="E2155:F2155"/>
    <mergeCell ref="G2155:H2155"/>
    <mergeCell ref="E2156:F2156"/>
    <mergeCell ref="G2156:H2156"/>
    <mergeCell ref="C2157:D2157"/>
    <mergeCell ref="E2157:F2157"/>
    <mergeCell ref="G2157:H2157"/>
    <mergeCell ref="E2158:F2158"/>
    <mergeCell ref="G2158:H2158"/>
    <mergeCell ref="C2159:D2159"/>
    <mergeCell ref="E2159:F2159"/>
    <mergeCell ref="G2159:H2159"/>
    <mergeCell ref="E2160:F2160"/>
    <mergeCell ref="G2160:H2160"/>
    <mergeCell ref="C2161:D2161"/>
    <mergeCell ref="E2161:F2161"/>
    <mergeCell ref="G2161:H2161"/>
    <mergeCell ref="C2163:D2163"/>
    <mergeCell ref="E2163:F2163"/>
    <mergeCell ref="G2163:H2163"/>
    <mergeCell ref="C2165:D2165"/>
    <mergeCell ref="E2165:F2165"/>
    <mergeCell ref="G2165:H2165"/>
    <mergeCell ref="C2167:D2167"/>
    <mergeCell ref="E2167:F2167"/>
    <mergeCell ref="G2167:H2167"/>
    <mergeCell ref="C2169:D2169"/>
    <mergeCell ref="E2169:F2169"/>
    <mergeCell ref="G2169:H2169"/>
    <mergeCell ref="C2171:D2171"/>
    <mergeCell ref="E2171:F2171"/>
    <mergeCell ref="G2171:H2171"/>
    <mergeCell ref="C2172:D2172"/>
    <mergeCell ref="E2172:F2172"/>
    <mergeCell ref="G2172:H2172"/>
    <mergeCell ref="B2173:M2173"/>
    <mergeCell ref="C2174:D2174"/>
    <mergeCell ref="E2174:F2174"/>
    <mergeCell ref="G2174:H2174"/>
    <mergeCell ref="I2174:J2174"/>
    <mergeCell ref="K2174:M2174"/>
    <mergeCell ref="C2175:D2175"/>
    <mergeCell ref="E2175:F2175"/>
    <mergeCell ref="G2175:H2175"/>
    <mergeCell ref="I2175:J2175"/>
    <mergeCell ref="K2175:M2175"/>
    <mergeCell ref="B2177:M2177"/>
    <mergeCell ref="C2178:D2178"/>
    <mergeCell ref="E2178:F2178"/>
    <mergeCell ref="G2178:H2178"/>
    <mergeCell ref="I2178:J2178"/>
    <mergeCell ref="K2178:M2178"/>
    <mergeCell ref="C2179:D2179"/>
    <mergeCell ref="E2179:F2179"/>
    <mergeCell ref="G2179:H2179"/>
    <mergeCell ref="I2179:J2179"/>
    <mergeCell ref="K2179:M2179"/>
    <mergeCell ref="C2181:J2181"/>
    <mergeCell ref="D2182:E2182"/>
    <mergeCell ref="C2184:D2184"/>
    <mergeCell ref="E2184:F2184"/>
    <mergeCell ref="G2184:H2184"/>
    <mergeCell ref="I2184:M2184"/>
    <mergeCell ref="C2185:D2185"/>
    <mergeCell ref="E2185:F2185"/>
    <mergeCell ref="G2185:H2185"/>
    <mergeCell ref="C2186:D2186"/>
    <mergeCell ref="E2186:F2186"/>
    <mergeCell ref="G2186:H2186"/>
    <mergeCell ref="E2187:F2187"/>
    <mergeCell ref="G2187:H2187"/>
    <mergeCell ref="C2188:D2188"/>
    <mergeCell ref="E2188:F2188"/>
    <mergeCell ref="G2188:H2188"/>
    <mergeCell ref="C2189:D2189"/>
    <mergeCell ref="E2189:F2189"/>
    <mergeCell ref="G2189:H2189"/>
    <mergeCell ref="C2190:D2190"/>
    <mergeCell ref="E2190:F2190"/>
    <mergeCell ref="G2190:H2190"/>
    <mergeCell ref="E2191:F2191"/>
    <mergeCell ref="G2191:H2191"/>
    <mergeCell ref="C2192:D2192"/>
    <mergeCell ref="E2192:F2192"/>
    <mergeCell ref="G2192:H2192"/>
    <mergeCell ref="E2193:F2193"/>
    <mergeCell ref="G2193:H2193"/>
    <mergeCell ref="C2194:D2194"/>
    <mergeCell ref="E2194:F2194"/>
    <mergeCell ref="G2194:H2194"/>
    <mergeCell ref="E2195:F2195"/>
    <mergeCell ref="G2195:H2195"/>
    <mergeCell ref="C2196:D2196"/>
    <mergeCell ref="E2196:F2196"/>
    <mergeCell ref="G2196:H2196"/>
    <mergeCell ref="E2197:F2197"/>
    <mergeCell ref="G2197:H2197"/>
    <mergeCell ref="C2198:D2198"/>
    <mergeCell ref="E2198:F2198"/>
    <mergeCell ref="G2198:H2198"/>
    <mergeCell ref="E2199:F2199"/>
    <mergeCell ref="G2199:H2199"/>
    <mergeCell ref="C2200:D2200"/>
    <mergeCell ref="E2200:F2200"/>
    <mergeCell ref="G2200:H2200"/>
    <mergeCell ref="E2201:F2201"/>
    <mergeCell ref="G2201:H2201"/>
    <mergeCell ref="C2202:D2202"/>
    <mergeCell ref="E2202:F2202"/>
    <mergeCell ref="G2202:H2202"/>
    <mergeCell ref="E2203:F2203"/>
    <mergeCell ref="G2203:H2203"/>
    <mergeCell ref="C2204:D2204"/>
    <mergeCell ref="E2204:F2204"/>
    <mergeCell ref="G2204:H2204"/>
    <mergeCell ref="B2216:M2216"/>
    <mergeCell ref="C2217:D2217"/>
    <mergeCell ref="E2217:F2217"/>
    <mergeCell ref="G2217:H2217"/>
    <mergeCell ref="I2217:J2217"/>
    <mergeCell ref="K2217:M2217"/>
    <mergeCell ref="C2218:D2218"/>
    <mergeCell ref="E2218:F2218"/>
    <mergeCell ref="G2218:H2218"/>
    <mergeCell ref="I2218:J2218"/>
    <mergeCell ref="K2218:M2218"/>
    <mergeCell ref="E2205:F2205"/>
    <mergeCell ref="G2205:H2205"/>
    <mergeCell ref="C2206:D2206"/>
    <mergeCell ref="E2206:F2206"/>
    <mergeCell ref="G2206:H2206"/>
    <mergeCell ref="C2208:D2208"/>
    <mergeCell ref="E2208:F2208"/>
    <mergeCell ref="G2208:H2208"/>
    <mergeCell ref="C2210:D2210"/>
    <mergeCell ref="E2210:F2210"/>
    <mergeCell ref="G2210:H2210"/>
    <mergeCell ref="C2212:D2212"/>
    <mergeCell ref="E2212:F2212"/>
    <mergeCell ref="G2212:H2212"/>
    <mergeCell ref="C2214:D2214"/>
    <mergeCell ref="E2214:F2214"/>
    <mergeCell ref="G2214:H2214"/>
    <mergeCell ref="B2220:M2220"/>
    <mergeCell ref="C2221:D2221"/>
    <mergeCell ref="E2221:F2221"/>
    <mergeCell ref="G2221:H2221"/>
    <mergeCell ref="I2221:J2221"/>
    <mergeCell ref="K2221:M2221"/>
    <mergeCell ref="C2222:D2222"/>
    <mergeCell ref="E2222:F2222"/>
    <mergeCell ref="G2222:H2222"/>
    <mergeCell ref="I2222:J2222"/>
    <mergeCell ref="K2222:M2222"/>
    <mergeCell ref="C2224:J2224"/>
    <mergeCell ref="D2225:E2225"/>
    <mergeCell ref="C2227:D2227"/>
    <mergeCell ref="E2227:F2227"/>
    <mergeCell ref="G2227:H2227"/>
    <mergeCell ref="I2227:M2227"/>
    <mergeCell ref="C2228:D2228"/>
    <mergeCell ref="E2228:F2228"/>
    <mergeCell ref="G2228:H2228"/>
    <mergeCell ref="C2229:D2229"/>
    <mergeCell ref="E2229:F2229"/>
    <mergeCell ref="G2229:H2229"/>
    <mergeCell ref="E2230:F2230"/>
    <mergeCell ref="G2230:H2230"/>
    <mergeCell ref="C2231:D2231"/>
    <mergeCell ref="E2231:F2231"/>
    <mergeCell ref="G2231:H2231"/>
    <mergeCell ref="C2232:D2232"/>
    <mergeCell ref="E2232:F2232"/>
    <mergeCell ref="G2232:H2232"/>
    <mergeCell ref="C2233:D2233"/>
    <mergeCell ref="E2233:F2233"/>
    <mergeCell ref="G2233:H2233"/>
    <mergeCell ref="E2234:F2234"/>
    <mergeCell ref="G2234:H2234"/>
    <mergeCell ref="C2235:D2235"/>
    <mergeCell ref="E2235:F2235"/>
    <mergeCell ref="G2235:H2235"/>
    <mergeCell ref="E2236:F2236"/>
    <mergeCell ref="G2236:H2236"/>
    <mergeCell ref="C2237:D2237"/>
    <mergeCell ref="E2237:F2237"/>
    <mergeCell ref="G2237:H2237"/>
    <mergeCell ref="E2238:F2238"/>
    <mergeCell ref="G2238:H2238"/>
    <mergeCell ref="C2239:D2239"/>
    <mergeCell ref="E2239:F2239"/>
    <mergeCell ref="G2239:H2239"/>
    <mergeCell ref="E2240:F2240"/>
    <mergeCell ref="G2240:H2240"/>
    <mergeCell ref="E2248:F2248"/>
    <mergeCell ref="G2248:H2248"/>
    <mergeCell ref="C2249:D2249"/>
    <mergeCell ref="E2249:F2249"/>
    <mergeCell ref="G2249:H2249"/>
    <mergeCell ref="C2251:D2251"/>
    <mergeCell ref="E2251:F2251"/>
    <mergeCell ref="G2251:H2251"/>
    <mergeCell ref="C2253:D2253"/>
    <mergeCell ref="E2253:F2253"/>
    <mergeCell ref="G2253:H2253"/>
    <mergeCell ref="C2255:D2255"/>
    <mergeCell ref="E2255:F2255"/>
    <mergeCell ref="G2255:H2255"/>
    <mergeCell ref="C2241:D2241"/>
    <mergeCell ref="E2241:F2241"/>
    <mergeCell ref="G2241:H2241"/>
    <mergeCell ref="E2242:F2242"/>
    <mergeCell ref="G2242:H2242"/>
    <mergeCell ref="C2243:D2243"/>
    <mergeCell ref="E2243:F2243"/>
    <mergeCell ref="G2243:H2243"/>
    <mergeCell ref="E2244:F2244"/>
    <mergeCell ref="G2244:H2244"/>
    <mergeCell ref="C2245:D2245"/>
    <mergeCell ref="E2245:F2245"/>
    <mergeCell ref="G2245:H2245"/>
    <mergeCell ref="E2246:F2246"/>
    <mergeCell ref="G2246:H2246"/>
    <mergeCell ref="C2247:D2247"/>
    <mergeCell ref="E2247:F2247"/>
    <mergeCell ref="G2247:H2247"/>
    <mergeCell ref="B2257:M2257"/>
    <mergeCell ref="C2258:D2258"/>
    <mergeCell ref="E2258:F2258"/>
    <mergeCell ref="G2258:H2258"/>
    <mergeCell ref="I2258:J2258"/>
    <mergeCell ref="K2258:M2258"/>
    <mergeCell ref="C2259:D2259"/>
    <mergeCell ref="E2259:F2259"/>
    <mergeCell ref="G2259:H2259"/>
    <mergeCell ref="I2259:J2259"/>
    <mergeCell ref="K2259:M2259"/>
    <mergeCell ref="B2261:M2261"/>
    <mergeCell ref="C2262:D2262"/>
    <mergeCell ref="E2262:F2262"/>
    <mergeCell ref="G2262:H2262"/>
    <mergeCell ref="I2262:J2262"/>
    <mergeCell ref="K2262:M2262"/>
    <mergeCell ref="C2263:D2263"/>
    <mergeCell ref="E2263:F2263"/>
    <mergeCell ref="G2263:H2263"/>
    <mergeCell ref="I2263:J2263"/>
    <mergeCell ref="K2263:M2263"/>
    <mergeCell ref="C2265:J2265"/>
    <mergeCell ref="D2266:E2266"/>
    <mergeCell ref="C2268:D2268"/>
    <mergeCell ref="E2268:F2268"/>
    <mergeCell ref="G2268:H2268"/>
    <mergeCell ref="I2268:M2268"/>
    <mergeCell ref="C2269:D2269"/>
    <mergeCell ref="E2269:F2269"/>
    <mergeCell ref="G2269:H2269"/>
    <mergeCell ref="C2270:D2270"/>
    <mergeCell ref="E2270:F2270"/>
    <mergeCell ref="G2270:H2270"/>
    <mergeCell ref="E2271:F2271"/>
    <mergeCell ref="G2271:H2271"/>
    <mergeCell ref="C2272:D2272"/>
    <mergeCell ref="E2272:F2272"/>
    <mergeCell ref="G2272:H2272"/>
    <mergeCell ref="C2273:D2273"/>
    <mergeCell ref="E2273:F2273"/>
    <mergeCell ref="G2273:H2273"/>
    <mergeCell ref="C2274:D2274"/>
    <mergeCell ref="E2274:F2274"/>
    <mergeCell ref="G2274:H2274"/>
    <mergeCell ref="E2275:F2275"/>
    <mergeCell ref="G2275:H2275"/>
    <mergeCell ref="C2276:D2276"/>
    <mergeCell ref="E2276:F2276"/>
    <mergeCell ref="G2276:H2276"/>
    <mergeCell ref="E2277:F2277"/>
    <mergeCell ref="G2277:H2277"/>
    <mergeCell ref="C2271:D2271"/>
    <mergeCell ref="E2300:F2300"/>
    <mergeCell ref="G2300:H2300"/>
    <mergeCell ref="E2285:F2285"/>
    <mergeCell ref="G2285:H2285"/>
    <mergeCell ref="C2278:D2278"/>
    <mergeCell ref="E2278:F2278"/>
    <mergeCell ref="G2278:H2278"/>
    <mergeCell ref="E2279:F2279"/>
    <mergeCell ref="G2279:H2279"/>
    <mergeCell ref="C2280:D2280"/>
    <mergeCell ref="E2280:F2280"/>
    <mergeCell ref="G2280:H2280"/>
    <mergeCell ref="E2281:F2281"/>
    <mergeCell ref="G2281:H2281"/>
    <mergeCell ref="C2282:D2282"/>
    <mergeCell ref="E2282:F2282"/>
    <mergeCell ref="G2282:H2282"/>
    <mergeCell ref="E2283:F2283"/>
    <mergeCell ref="G2283:H2283"/>
    <mergeCell ref="C2284:D2284"/>
    <mergeCell ref="E2284:F2284"/>
    <mergeCell ref="G2284:H2284"/>
    <mergeCell ref="B2286:M2286"/>
    <mergeCell ref="C2287:D2287"/>
    <mergeCell ref="E2287:F2287"/>
    <mergeCell ref="G2287:H2287"/>
    <mergeCell ref="I2287:J2287"/>
    <mergeCell ref="K2287:M2287"/>
    <mergeCell ref="C2288:D2288"/>
    <mergeCell ref="E2288:F2288"/>
    <mergeCell ref="G2288:H2288"/>
    <mergeCell ref="I2288:J2288"/>
    <mergeCell ref="K2288:M2288"/>
    <mergeCell ref="C2298:D2298"/>
    <mergeCell ref="E2298:F2298"/>
    <mergeCell ref="G2298:H2298"/>
    <mergeCell ref="C2299:D2299"/>
    <mergeCell ref="E2299:F2299"/>
    <mergeCell ref="G2299:H2299"/>
    <mergeCell ref="B2290:M2290"/>
    <mergeCell ref="C2291:D2291"/>
    <mergeCell ref="E2291:F2291"/>
    <mergeCell ref="G2291:H2291"/>
    <mergeCell ref="I2291:J2291"/>
    <mergeCell ref="K2291:M2291"/>
    <mergeCell ref="C2292:D2292"/>
    <mergeCell ref="E2292:F2292"/>
    <mergeCell ref="G2292:H2292"/>
    <mergeCell ref="I2292:J2292"/>
    <mergeCell ref="K2292:M2292"/>
    <mergeCell ref="C2294:J2294"/>
    <mergeCell ref="D2295:E2295"/>
    <mergeCell ref="C2297:D2297"/>
    <mergeCell ref="E2297:F2297"/>
    <mergeCell ref="G2297:H2297"/>
    <mergeCell ref="I2297:M2297"/>
    <mergeCell ref="C2301:D2301"/>
    <mergeCell ref="E2301:F2301"/>
    <mergeCell ref="G2301:H2301"/>
    <mergeCell ref="C2302:D2302"/>
    <mergeCell ref="E2302:F2302"/>
    <mergeCell ref="G2302:H2302"/>
    <mergeCell ref="C2303:D2303"/>
    <mergeCell ref="E2303:F2303"/>
    <mergeCell ref="G2303:H2303"/>
    <mergeCell ref="E2304:F2304"/>
    <mergeCell ref="G2304:H2304"/>
    <mergeCell ref="C2305:D2305"/>
    <mergeCell ref="E2305:F2305"/>
    <mergeCell ref="G2305:H2305"/>
    <mergeCell ref="E2306:F2306"/>
    <mergeCell ref="G2306:H2306"/>
    <mergeCell ref="C2307:D2307"/>
    <mergeCell ref="E2307:F2307"/>
    <mergeCell ref="G2307:H2307"/>
    <mergeCell ref="E2308:F2308"/>
    <mergeCell ref="G2308:H2308"/>
    <mergeCell ref="C2309:D2309"/>
    <mergeCell ref="E2309:F2309"/>
    <mergeCell ref="G2309:H2309"/>
    <mergeCell ref="E2310:F2310"/>
    <mergeCell ref="G2310:H2310"/>
    <mergeCell ref="C2311:D2311"/>
    <mergeCell ref="E2311:F2311"/>
    <mergeCell ref="G2311:H2311"/>
    <mergeCell ref="E2312:F2312"/>
    <mergeCell ref="G2312:H2312"/>
    <mergeCell ref="C2313:D2313"/>
    <mergeCell ref="E2313:F2313"/>
    <mergeCell ref="G2313:H2313"/>
    <mergeCell ref="E2314:F2314"/>
    <mergeCell ref="G2314:H2314"/>
    <mergeCell ref="C2315:D2315"/>
    <mergeCell ref="E2315:F2315"/>
    <mergeCell ref="G2315:H2315"/>
    <mergeCell ref="E2316:F2316"/>
    <mergeCell ref="G2316:H2316"/>
    <mergeCell ref="C2317:D2317"/>
    <mergeCell ref="E2317:F2317"/>
    <mergeCell ref="G2317:H2317"/>
    <mergeCell ref="E2318:F2318"/>
    <mergeCell ref="G2318:H2318"/>
    <mergeCell ref="C2319:D2319"/>
    <mergeCell ref="E2319:F2319"/>
    <mergeCell ref="G2319:H2319"/>
    <mergeCell ref="C2321:D2321"/>
    <mergeCell ref="E2321:F2321"/>
    <mergeCell ref="G2321:H2321"/>
    <mergeCell ref="C2323:D2323"/>
    <mergeCell ref="E2323:F2323"/>
    <mergeCell ref="G2323:H2323"/>
    <mergeCell ref="I2331:J2331"/>
    <mergeCell ref="K2331:M2331"/>
    <mergeCell ref="B2325:M2325"/>
    <mergeCell ref="C2326:D2326"/>
    <mergeCell ref="E2326:F2326"/>
    <mergeCell ref="G2326:H2326"/>
    <mergeCell ref="I2326:J2326"/>
    <mergeCell ref="K2326:M2326"/>
    <mergeCell ref="C2327:D2327"/>
    <mergeCell ref="E2327:F2327"/>
    <mergeCell ref="G2327:H2327"/>
    <mergeCell ref="I2327:J2327"/>
    <mergeCell ref="K2327:M2327"/>
    <mergeCell ref="B2329:M2329"/>
    <mergeCell ref="C2330:D2330"/>
    <mergeCell ref="E2330:F2330"/>
    <mergeCell ref="G2330:H2330"/>
    <mergeCell ref="I2330:J2330"/>
    <mergeCell ref="K2330:M2330"/>
    <mergeCell ref="E2370:F2370"/>
    <mergeCell ref="G2370:H2370"/>
    <mergeCell ref="C2371:D2371"/>
    <mergeCell ref="E2371:F2371"/>
    <mergeCell ref="G2371:H2371"/>
    <mergeCell ref="E2372:F2372"/>
    <mergeCell ref="G2372:H2372"/>
    <mergeCell ref="C2373:D2373"/>
    <mergeCell ref="E2373:F2373"/>
    <mergeCell ref="G2373:H2373"/>
    <mergeCell ref="E2374:F2374"/>
    <mergeCell ref="G2374:H2374"/>
    <mergeCell ref="E2380:F2380"/>
    <mergeCell ref="G2380:H2380"/>
    <mergeCell ref="C2381:D2381"/>
    <mergeCell ref="C2331:D2331"/>
    <mergeCell ref="E2331:F2331"/>
    <mergeCell ref="G2331:H2331"/>
    <mergeCell ref="C2333:J2333"/>
    <mergeCell ref="D2334:E2334"/>
    <mergeCell ref="C2356:D2356"/>
    <mergeCell ref="E2356:F2356"/>
    <mergeCell ref="G2356:H2356"/>
    <mergeCell ref="I2356:J2356"/>
    <mergeCell ref="B2354:M2354"/>
    <mergeCell ref="C2336:D2336"/>
    <mergeCell ref="E2336:F2336"/>
    <mergeCell ref="C2337:D2337"/>
    <mergeCell ref="E2337:F2337"/>
    <mergeCell ref="C2338:D2338"/>
    <mergeCell ref="E2338:F2338"/>
    <mergeCell ref="E2339:F2339"/>
    <mergeCell ref="C2387:D2387"/>
    <mergeCell ref="E2387:F2387"/>
    <mergeCell ref="G2387:H2387"/>
    <mergeCell ref="C2389:D2389"/>
    <mergeCell ref="E2389:F2389"/>
    <mergeCell ref="G2389:H2389"/>
    <mergeCell ref="C2391:D2391"/>
    <mergeCell ref="E2391:F2391"/>
    <mergeCell ref="G2391:H2391"/>
    <mergeCell ref="B2403:M2403"/>
    <mergeCell ref="C2393:D2393"/>
    <mergeCell ref="C2395:D2395"/>
    <mergeCell ref="E2393:F2393"/>
    <mergeCell ref="E2395:F2395"/>
    <mergeCell ref="G2393:H2393"/>
    <mergeCell ref="C2366:D2366"/>
    <mergeCell ref="E2366:F2366"/>
    <mergeCell ref="G2366:H2366"/>
    <mergeCell ref="C2367:D2367"/>
    <mergeCell ref="E2367:F2367"/>
    <mergeCell ref="G2367:H2367"/>
    <mergeCell ref="E2368:F2368"/>
    <mergeCell ref="G2368:H2368"/>
    <mergeCell ref="C2369:D2369"/>
    <mergeCell ref="E2369:F2369"/>
    <mergeCell ref="G2369:H2369"/>
    <mergeCell ref="E2382:F2382"/>
    <mergeCell ref="G2382:H2382"/>
    <mergeCell ref="C2383:D2383"/>
    <mergeCell ref="E2383:F2383"/>
    <mergeCell ref="G2383:H2383"/>
    <mergeCell ref="C2370:D2370"/>
    <mergeCell ref="C967:D967"/>
    <mergeCell ref="E967:F967"/>
    <mergeCell ref="G967:H967"/>
    <mergeCell ref="C2404:D2404"/>
    <mergeCell ref="E2404:F2404"/>
    <mergeCell ref="G2404:H2404"/>
    <mergeCell ref="I2404:J2404"/>
    <mergeCell ref="K2404:M2404"/>
    <mergeCell ref="C2405:D2405"/>
    <mergeCell ref="E2405:F2405"/>
    <mergeCell ref="G2405:H2405"/>
    <mergeCell ref="I2405:J2405"/>
    <mergeCell ref="K2405:M2405"/>
    <mergeCell ref="B2407:M2407"/>
    <mergeCell ref="C2408:D2408"/>
    <mergeCell ref="E2408:F2408"/>
    <mergeCell ref="G2408:H2408"/>
    <mergeCell ref="I2408:J2408"/>
    <mergeCell ref="K2408:M2408"/>
    <mergeCell ref="C2377:D2377"/>
    <mergeCell ref="E2377:F2377"/>
    <mergeCell ref="G2377:H2377"/>
    <mergeCell ref="E2378:F2378"/>
    <mergeCell ref="G2378:H2378"/>
    <mergeCell ref="C2379:D2379"/>
    <mergeCell ref="E2379:F2379"/>
    <mergeCell ref="G2379:H2379"/>
    <mergeCell ref="C2375:D2375"/>
    <mergeCell ref="E2375:F2375"/>
    <mergeCell ref="G2375:H2375"/>
    <mergeCell ref="E2376:F2376"/>
    <mergeCell ref="G2376:H2376"/>
    <mergeCell ref="E2381:F2381"/>
    <mergeCell ref="G2381:H2381"/>
    <mergeCell ref="C2432:J2432"/>
    <mergeCell ref="D2433:E2433"/>
    <mergeCell ref="C2435:D2435"/>
    <mergeCell ref="E2435:F2435"/>
    <mergeCell ref="G2435:H2435"/>
    <mergeCell ref="I2435:M2435"/>
    <mergeCell ref="C2436:D2436"/>
    <mergeCell ref="E2436:F2436"/>
    <mergeCell ref="G2436:H2436"/>
    <mergeCell ref="C2437:D2437"/>
    <mergeCell ref="E2437:F2437"/>
    <mergeCell ref="G2437:H2437"/>
    <mergeCell ref="K2409:M2409"/>
    <mergeCell ref="G2395:H2395"/>
    <mergeCell ref="C2409:D2409"/>
    <mergeCell ref="E2409:F2409"/>
    <mergeCell ref="G2409:H2409"/>
    <mergeCell ref="I2409:J2409"/>
    <mergeCell ref="C2410:D2410"/>
    <mergeCell ref="E2410:F2410"/>
    <mergeCell ref="G2410:H2410"/>
    <mergeCell ref="I2410:J2410"/>
    <mergeCell ref="K2410:M2410"/>
    <mergeCell ref="E2384:F2384"/>
    <mergeCell ref="G2384:H2384"/>
    <mergeCell ref="C2385:D2385"/>
    <mergeCell ref="E2385:F2385"/>
    <mergeCell ref="G2385:H2385"/>
    <mergeCell ref="E2386:F2386"/>
    <mergeCell ref="G2386:H2386"/>
    <mergeCell ref="E2438:F2438"/>
    <mergeCell ref="G2438:H2438"/>
    <mergeCell ref="C2439:D2439"/>
    <mergeCell ref="E2439:F2439"/>
    <mergeCell ref="G2439:H2439"/>
    <mergeCell ref="C2440:D2440"/>
    <mergeCell ref="E2440:F2440"/>
    <mergeCell ref="G2440:H2440"/>
    <mergeCell ref="C2445:D2445"/>
    <mergeCell ref="E2445:F2445"/>
    <mergeCell ref="G2445:H2445"/>
    <mergeCell ref="E2446:F2446"/>
    <mergeCell ref="G2446:H2446"/>
    <mergeCell ref="B2456:M2456"/>
    <mergeCell ref="C2457:D2457"/>
    <mergeCell ref="E2457:F2457"/>
    <mergeCell ref="G2457:H2457"/>
    <mergeCell ref="I2457:J2457"/>
    <mergeCell ref="K2457:M2457"/>
    <mergeCell ref="B2451:M2451"/>
    <mergeCell ref="C2452:D2452"/>
    <mergeCell ref="E2452:F2452"/>
    <mergeCell ref="G2452:H2452"/>
    <mergeCell ref="I2452:J2452"/>
    <mergeCell ref="K2452:M2452"/>
    <mergeCell ref="C2453:D2453"/>
    <mergeCell ref="E2453:F2453"/>
    <mergeCell ref="G2453:H2453"/>
    <mergeCell ref="I2453:J2453"/>
    <mergeCell ref="K2453:M2453"/>
    <mergeCell ref="C2454:D2454"/>
    <mergeCell ref="E2454:F2454"/>
    <mergeCell ref="C2458:D2458"/>
    <mergeCell ref="E2458:F2458"/>
    <mergeCell ref="G2458:H2458"/>
    <mergeCell ref="I2458:J2458"/>
    <mergeCell ref="K2458:M2458"/>
    <mergeCell ref="C2465:J2465"/>
    <mergeCell ref="D2466:E2466"/>
    <mergeCell ref="C2468:D2468"/>
    <mergeCell ref="C2469:D2469"/>
    <mergeCell ref="C2470:D2470"/>
    <mergeCell ref="C2472:D2472"/>
    <mergeCell ref="B2460:M2460"/>
    <mergeCell ref="C2461:D2461"/>
    <mergeCell ref="E2461:F2461"/>
    <mergeCell ref="G2461:H2461"/>
    <mergeCell ref="I2461:J2461"/>
    <mergeCell ref="K2461:M2461"/>
    <mergeCell ref="C2463:D2463"/>
    <mergeCell ref="E2463:F2463"/>
    <mergeCell ref="G2463:H2463"/>
    <mergeCell ref="I2463:J2463"/>
    <mergeCell ref="K2463:M2463"/>
    <mergeCell ref="C2462:D2462"/>
    <mergeCell ref="E2462:F2462"/>
    <mergeCell ref="G2462:H2462"/>
    <mergeCell ref="I2462:J2462"/>
    <mergeCell ref="K2462:M2462"/>
    <mergeCell ref="E2468:M2468"/>
    <mergeCell ref="C2474:D2474"/>
    <mergeCell ref="C2476:D2476"/>
    <mergeCell ref="C2480:D2480"/>
    <mergeCell ref="C2482:D2482"/>
    <mergeCell ref="C2503:J2503"/>
    <mergeCell ref="C2473:D2473"/>
    <mergeCell ref="C2478:D2478"/>
    <mergeCell ref="B2494:M2494"/>
    <mergeCell ref="C2495:D2495"/>
    <mergeCell ref="E2495:F2495"/>
    <mergeCell ref="G2495:H2495"/>
    <mergeCell ref="I2495:J2495"/>
    <mergeCell ref="K2495:M2495"/>
    <mergeCell ref="C2496:D2496"/>
    <mergeCell ref="E2496:F2496"/>
    <mergeCell ref="G2496:H2496"/>
    <mergeCell ref="I2496:J2496"/>
    <mergeCell ref="K2496:M2496"/>
    <mergeCell ref="C2490:D2490"/>
    <mergeCell ref="C2488:D2488"/>
    <mergeCell ref="C2492:D2492"/>
    <mergeCell ref="C2486:D2486"/>
    <mergeCell ref="C2484:D2484"/>
    <mergeCell ref="C2507:D2507"/>
    <mergeCell ref="C2508:D2508"/>
    <mergeCell ref="C2510:D2510"/>
    <mergeCell ref="C2511:D2511"/>
    <mergeCell ref="C2512:D2512"/>
    <mergeCell ref="C2514:D2514"/>
    <mergeCell ref="C2516:D2516"/>
    <mergeCell ref="C2518:D2518"/>
    <mergeCell ref="C2520:D2520"/>
    <mergeCell ref="B2522:M2522"/>
    <mergeCell ref="C2523:D2523"/>
    <mergeCell ref="E2523:F2523"/>
    <mergeCell ref="G2523:H2523"/>
    <mergeCell ref="I2523:J2523"/>
    <mergeCell ref="K2523:M2523"/>
    <mergeCell ref="B2498:M2498"/>
    <mergeCell ref="C2499:D2499"/>
    <mergeCell ref="E2499:F2499"/>
    <mergeCell ref="G2499:H2499"/>
    <mergeCell ref="I2499:J2499"/>
    <mergeCell ref="K2499:M2499"/>
    <mergeCell ref="C2501:D2501"/>
    <mergeCell ref="E2501:F2501"/>
    <mergeCell ref="G2501:H2501"/>
    <mergeCell ref="I2501:J2501"/>
    <mergeCell ref="K2501:M2501"/>
    <mergeCell ref="G1156:H1156"/>
    <mergeCell ref="I1156:J1156"/>
    <mergeCell ref="K1156:M1156"/>
    <mergeCell ref="C2529:D2529"/>
    <mergeCell ref="E2529:F2529"/>
    <mergeCell ref="G2529:H2529"/>
    <mergeCell ref="I2529:J2529"/>
    <mergeCell ref="K2529:M2529"/>
    <mergeCell ref="C2500:D2500"/>
    <mergeCell ref="E2500:F2500"/>
    <mergeCell ref="G2500:H2500"/>
    <mergeCell ref="I2500:J2500"/>
    <mergeCell ref="K2500:M2500"/>
    <mergeCell ref="C2524:D2524"/>
    <mergeCell ref="E2524:F2524"/>
    <mergeCell ref="G2524:H2524"/>
    <mergeCell ref="I2524:J2524"/>
    <mergeCell ref="K2524:M2524"/>
    <mergeCell ref="B2526:M2526"/>
    <mergeCell ref="C2527:D2527"/>
    <mergeCell ref="E2527:F2527"/>
    <mergeCell ref="G2527:H2527"/>
    <mergeCell ref="I2527:J2527"/>
    <mergeCell ref="K2527:M2527"/>
    <mergeCell ref="C2528:D2528"/>
    <mergeCell ref="E2528:F2528"/>
    <mergeCell ref="G2528:H2528"/>
    <mergeCell ref="I2528:J2528"/>
    <mergeCell ref="K2528:M2528"/>
    <mergeCell ref="D2504:E2504"/>
    <mergeCell ref="C2506:D2506"/>
    <mergeCell ref="E2506:M2506"/>
    <mergeCell ref="E147:F147"/>
    <mergeCell ref="G147:H147"/>
    <mergeCell ref="B167:M167"/>
    <mergeCell ref="C168:D168"/>
    <mergeCell ref="E168:F168"/>
    <mergeCell ref="G168:H168"/>
    <mergeCell ref="I168:J168"/>
    <mergeCell ref="K168:M168"/>
    <mergeCell ref="C169:D169"/>
    <mergeCell ref="E169:F169"/>
    <mergeCell ref="G169:H169"/>
    <mergeCell ref="I169:J169"/>
    <mergeCell ref="K169:M169"/>
    <mergeCell ref="B171:M171"/>
    <mergeCell ref="C172:D172"/>
    <mergeCell ref="E172:F172"/>
    <mergeCell ref="G172:H172"/>
    <mergeCell ref="I172:J172"/>
    <mergeCell ref="K172:M172"/>
    <mergeCell ref="E160:F160"/>
    <mergeCell ref="G160:H160"/>
    <mergeCell ref="I164:J164"/>
    <mergeCell ref="K164:M164"/>
    <mergeCell ref="B162:M162"/>
    <mergeCell ref="C163:D163"/>
    <mergeCell ref="E163:F163"/>
    <mergeCell ref="G163:H163"/>
    <mergeCell ref="I163:J163"/>
    <mergeCell ref="K163:M163"/>
    <mergeCell ref="C160:D160"/>
    <mergeCell ref="E179:F179"/>
    <mergeCell ref="B201:M201"/>
    <mergeCell ref="C202:D202"/>
    <mergeCell ref="E202:F202"/>
    <mergeCell ref="G202:H202"/>
    <mergeCell ref="C235:D235"/>
    <mergeCell ref="E235:F235"/>
    <mergeCell ref="G235:H235"/>
    <mergeCell ref="I235:J235"/>
    <mergeCell ref="K235:M235"/>
    <mergeCell ref="K173:M173"/>
    <mergeCell ref="C174:D174"/>
    <mergeCell ref="E174:F174"/>
    <mergeCell ref="G174:H174"/>
    <mergeCell ref="I174:J174"/>
    <mergeCell ref="K174:M174"/>
    <mergeCell ref="E210:F210"/>
    <mergeCell ref="G210:H210"/>
    <mergeCell ref="I202:J202"/>
    <mergeCell ref="K202:M202"/>
    <mergeCell ref="D207:E207"/>
    <mergeCell ref="C209:D209"/>
    <mergeCell ref="E209:F209"/>
    <mergeCell ref="G209:H209"/>
    <mergeCell ref="I209:M209"/>
    <mergeCell ref="C206:J206"/>
    <mergeCell ref="C204:D204"/>
    <mergeCell ref="C184:D184"/>
    <mergeCell ref="E184:F184"/>
    <mergeCell ref="C179:D179"/>
    <mergeCell ref="C180:D180"/>
    <mergeCell ref="E180:F180"/>
  </mergeCells>
  <pageMargins left="0.25" right="0.25" top="0.25" bottom="0.25" header="0.3" footer="0.3"/>
  <pageSetup scale="7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2091-A29B-4D80-96AA-BCD7132B92EA}">
  <sheetPr>
    <pageSetUpPr fitToPage="1"/>
  </sheetPr>
  <dimension ref="B1:R713"/>
  <sheetViews>
    <sheetView topLeftCell="A691" workbookViewId="0">
      <selection activeCell="N691" sqref="N1:S1048576"/>
    </sheetView>
  </sheetViews>
  <sheetFormatPr defaultRowHeight="15" x14ac:dyDescent="0.25"/>
  <cols>
    <col min="1" max="1" width="5.140625" customWidth="1"/>
    <col min="2" max="2" width="26.28515625" customWidth="1"/>
    <col min="3" max="3" width="9.140625" customWidth="1"/>
    <col min="14" max="14" width="0" hidden="1" customWidth="1"/>
    <col min="15" max="15" width="10.140625" hidden="1" customWidth="1"/>
    <col min="16" max="19" width="0" hidden="1" customWidth="1"/>
  </cols>
  <sheetData>
    <row r="1" spans="2:16" ht="23.25" x14ac:dyDescent="0.35">
      <c r="B1" s="29" t="s">
        <v>334</v>
      </c>
      <c r="C1" s="229" t="s">
        <v>47</v>
      </c>
      <c r="D1" s="229"/>
      <c r="E1" s="229"/>
      <c r="F1" s="229"/>
      <c r="G1" s="229"/>
    </row>
    <row r="2" spans="2:16" ht="18.75" x14ac:dyDescent="0.3">
      <c r="B2" s="12" t="s">
        <v>335</v>
      </c>
      <c r="C2" s="1" t="s">
        <v>2</v>
      </c>
      <c r="D2" s="228" t="s">
        <v>427</v>
      </c>
      <c r="E2" s="228"/>
      <c r="F2" s="1" t="s">
        <v>3617</v>
      </c>
      <c r="L2" s="12" t="s">
        <v>339</v>
      </c>
      <c r="M2" s="6" t="s">
        <v>46</v>
      </c>
      <c r="O2" s="101" t="s">
        <v>481</v>
      </c>
    </row>
    <row r="4" spans="2:16" x14ac:dyDescent="0.25">
      <c r="B4" s="2" t="s">
        <v>341</v>
      </c>
      <c r="C4" s="322" t="s">
        <v>3618</v>
      </c>
      <c r="D4" s="322"/>
      <c r="E4" s="322" t="s">
        <v>3619</v>
      </c>
      <c r="F4" s="322"/>
      <c r="G4" s="228" t="s">
        <v>345</v>
      </c>
      <c r="H4" s="228"/>
      <c r="I4" s="228"/>
      <c r="J4" s="228"/>
      <c r="K4" s="228"/>
      <c r="L4" s="228"/>
      <c r="M4" s="228"/>
      <c r="N4" s="10"/>
      <c r="O4" s="106" t="s">
        <v>732</v>
      </c>
    </row>
    <row r="5" spans="2:16" x14ac:dyDescent="0.25">
      <c r="O5" s="9"/>
    </row>
    <row r="6" spans="2:16" x14ac:dyDescent="0.25">
      <c r="B6" s="13" t="s">
        <v>665</v>
      </c>
      <c r="C6" s="252" t="s">
        <v>678</v>
      </c>
      <c r="D6" s="252"/>
      <c r="E6" s="252" t="s">
        <v>1326</v>
      </c>
      <c r="F6" s="252"/>
      <c r="G6" s="14" t="s">
        <v>655</v>
      </c>
      <c r="H6" s="14"/>
      <c r="O6" s="102" t="e">
        <f>SUM(0.3*#REF!)/45</f>
        <v>#REF!</v>
      </c>
      <c r="P6" s="98"/>
    </row>
    <row r="7" spans="2:16" x14ac:dyDescent="0.25">
      <c r="B7" s="13"/>
      <c r="C7" s="188"/>
      <c r="D7" s="188"/>
      <c r="E7" s="188"/>
      <c r="F7" s="188"/>
      <c r="G7" s="14" t="s">
        <v>3620</v>
      </c>
      <c r="H7" s="14"/>
      <c r="O7" s="98"/>
      <c r="P7" s="98"/>
    </row>
    <row r="8" spans="2:16" x14ac:dyDescent="0.25">
      <c r="B8" s="31" t="s">
        <v>3621</v>
      </c>
      <c r="C8" s="255" t="s">
        <v>790</v>
      </c>
      <c r="D8" s="255"/>
      <c r="E8" s="255" t="s">
        <v>1037</v>
      </c>
      <c r="F8" s="255"/>
      <c r="G8" s="14" t="s">
        <v>3622</v>
      </c>
      <c r="H8" s="14"/>
      <c r="O8" s="98">
        <v>0</v>
      </c>
      <c r="P8" s="98"/>
    </row>
    <row r="9" spans="2:16" x14ac:dyDescent="0.25">
      <c r="B9" s="14"/>
      <c r="C9" s="189"/>
      <c r="D9" s="189"/>
      <c r="E9" s="189"/>
      <c r="F9" s="189"/>
      <c r="G9" s="14" t="s">
        <v>3623</v>
      </c>
      <c r="H9" s="14"/>
      <c r="O9" s="98"/>
      <c r="P9" s="98"/>
    </row>
    <row r="10" spans="2:16" x14ac:dyDescent="0.25">
      <c r="B10" s="13" t="s">
        <v>652</v>
      </c>
      <c r="C10" s="252" t="s">
        <v>3212</v>
      </c>
      <c r="D10" s="252"/>
      <c r="E10" s="323" t="s">
        <v>653</v>
      </c>
      <c r="F10" s="323"/>
      <c r="G10" s="14" t="s">
        <v>3624</v>
      </c>
      <c r="H10" s="14"/>
      <c r="O10" s="98" t="e">
        <f>SUM(1.5*#REF!)/45</f>
        <v>#REF!</v>
      </c>
      <c r="P10" s="98"/>
    </row>
    <row r="11" spans="2:16" x14ac:dyDescent="0.25">
      <c r="B11" s="13"/>
      <c r="C11" s="188"/>
      <c r="D11" s="188"/>
      <c r="E11" s="188"/>
      <c r="F11" s="188"/>
      <c r="G11" s="14" t="s">
        <v>3625</v>
      </c>
      <c r="H11" s="14"/>
      <c r="O11" s="98"/>
      <c r="P11" s="98"/>
    </row>
    <row r="12" spans="2:16" x14ac:dyDescent="0.25">
      <c r="B12" s="14" t="s">
        <v>1946</v>
      </c>
      <c r="C12" s="290" t="s">
        <v>1445</v>
      </c>
      <c r="D12" s="290"/>
      <c r="E12" s="290" t="s">
        <v>653</v>
      </c>
      <c r="F12" s="290"/>
      <c r="G12" s="14" t="s">
        <v>3626</v>
      </c>
      <c r="H12" s="14"/>
      <c r="O12" s="98" t="e">
        <f>SUM(2*#REF!)/45</f>
        <v>#REF!</v>
      </c>
      <c r="P12" s="98"/>
    </row>
    <row r="13" spans="2:16" x14ac:dyDescent="0.25">
      <c r="B13" s="14"/>
      <c r="C13" s="189"/>
      <c r="D13" s="189"/>
      <c r="E13" s="189"/>
      <c r="F13" s="189"/>
      <c r="G13" s="14" t="s">
        <v>3627</v>
      </c>
      <c r="H13" s="14"/>
      <c r="O13" s="98"/>
      <c r="P13" s="98"/>
    </row>
    <row r="14" spans="2:16" x14ac:dyDescent="0.25">
      <c r="B14" s="13" t="s">
        <v>660</v>
      </c>
      <c r="C14" s="252" t="s">
        <v>1822</v>
      </c>
      <c r="D14" s="252"/>
      <c r="E14" s="252" t="s">
        <v>1853</v>
      </c>
      <c r="F14" s="252"/>
      <c r="G14" t="s">
        <v>3628</v>
      </c>
      <c r="H14" s="14"/>
      <c r="O14" s="98" t="e">
        <f>SUM(14*#REF!)/45</f>
        <v>#REF!</v>
      </c>
      <c r="P14" s="98"/>
    </row>
    <row r="15" spans="2:16" x14ac:dyDescent="0.25">
      <c r="B15" s="13"/>
      <c r="C15" s="188"/>
      <c r="D15" s="188"/>
      <c r="E15" s="188"/>
      <c r="F15" s="188"/>
      <c r="G15" t="s">
        <v>3629</v>
      </c>
      <c r="H15" s="14"/>
      <c r="O15" s="98"/>
      <c r="P15" s="98"/>
    </row>
    <row r="16" spans="2:16" x14ac:dyDescent="0.25">
      <c r="B16" s="14" t="s">
        <v>518</v>
      </c>
      <c r="C16" s="290" t="s">
        <v>880</v>
      </c>
      <c r="D16" s="290"/>
      <c r="E16" s="290" t="s">
        <v>491</v>
      </c>
      <c r="F16" s="290"/>
      <c r="G16" t="s">
        <v>3630</v>
      </c>
      <c r="H16" s="14"/>
      <c r="O16" s="103" t="e">
        <f>SUM(1.5*#REF!)/45</f>
        <v>#REF!</v>
      </c>
      <c r="P16" s="98"/>
    </row>
    <row r="17" spans="2:17" x14ac:dyDescent="0.25">
      <c r="B17" s="14"/>
      <c r="C17" s="189"/>
      <c r="D17" s="189"/>
      <c r="E17" s="189"/>
      <c r="F17" s="189"/>
      <c r="G17" s="14" t="s">
        <v>3631</v>
      </c>
      <c r="H17" s="14"/>
      <c r="O17" s="98"/>
      <c r="P17" s="98"/>
    </row>
    <row r="18" spans="2:17" x14ac:dyDescent="0.25">
      <c r="B18" s="13" t="s">
        <v>3632</v>
      </c>
      <c r="C18" s="252" t="s">
        <v>391</v>
      </c>
      <c r="D18" s="252"/>
      <c r="E18" s="252" t="s">
        <v>374</v>
      </c>
      <c r="F18" s="252"/>
      <c r="G18" t="s">
        <v>3633</v>
      </c>
      <c r="H18" s="14"/>
      <c r="O18" s="98" t="e">
        <f>SUM(0.75*#REF!)/45</f>
        <v>#REF!</v>
      </c>
      <c r="P18" s="98"/>
    </row>
    <row r="19" spans="2:17" x14ac:dyDescent="0.25">
      <c r="B19" s="13"/>
      <c r="C19" s="188"/>
      <c r="D19" s="188"/>
      <c r="E19" s="188"/>
      <c r="F19" s="188"/>
      <c r="G19" s="14" t="s">
        <v>3634</v>
      </c>
      <c r="H19" s="14"/>
      <c r="O19" s="98"/>
      <c r="P19" s="98"/>
    </row>
    <row r="20" spans="2:17" x14ac:dyDescent="0.25">
      <c r="B20" s="14" t="s">
        <v>677</v>
      </c>
      <c r="C20" s="290" t="s">
        <v>1822</v>
      </c>
      <c r="D20" s="290"/>
      <c r="E20" s="290" t="s">
        <v>382</v>
      </c>
      <c r="F20" s="290"/>
      <c r="G20" s="15" t="s">
        <v>3635</v>
      </c>
      <c r="H20" s="14"/>
      <c r="O20" s="98" t="e">
        <f>SUM(14*#REF!)/45</f>
        <v>#REF!</v>
      </c>
      <c r="P20" s="98"/>
    </row>
    <row r="21" spans="2:17" x14ac:dyDescent="0.25">
      <c r="B21" s="14"/>
      <c r="C21" s="189"/>
      <c r="D21" s="189"/>
      <c r="E21" s="189"/>
      <c r="F21" s="189"/>
      <c r="G21" s="14"/>
      <c r="H21" s="14"/>
      <c r="O21" s="98"/>
      <c r="P21" s="98"/>
    </row>
    <row r="22" spans="2:17" x14ac:dyDescent="0.25">
      <c r="B22" s="13" t="s">
        <v>3636</v>
      </c>
      <c r="C22" s="252" t="s">
        <v>3637</v>
      </c>
      <c r="D22" s="252"/>
      <c r="E22" s="252" t="s">
        <v>3638</v>
      </c>
      <c r="F22" s="252"/>
      <c r="G22" s="89" t="s">
        <v>3639</v>
      </c>
      <c r="H22" s="14"/>
      <c r="O22" s="102" t="e">
        <f>SUM(1*#REF!)/45</f>
        <v>#REF!</v>
      </c>
      <c r="P22" s="98"/>
    </row>
    <row r="23" spans="2:17" x14ac:dyDescent="0.25">
      <c r="B23" s="13"/>
      <c r="C23" s="13"/>
      <c r="D23" s="13"/>
      <c r="E23" s="13"/>
      <c r="F23" s="13"/>
      <c r="G23" s="14" t="s">
        <v>3640</v>
      </c>
      <c r="H23" s="14"/>
      <c r="O23" s="98"/>
      <c r="P23" s="98"/>
    </row>
    <row r="24" spans="2:17" x14ac:dyDescent="0.25">
      <c r="B24" s="14" t="s">
        <v>1723</v>
      </c>
      <c r="C24" s="253" t="s">
        <v>3641</v>
      </c>
      <c r="D24" s="253"/>
      <c r="E24" s="253" t="s">
        <v>3642</v>
      </c>
      <c r="F24" s="253"/>
      <c r="G24" s="14" t="s">
        <v>3643</v>
      </c>
      <c r="H24" s="14"/>
      <c r="O24" s="102" t="e">
        <f>SUM(6.375*#REF!)/45</f>
        <v>#REF!</v>
      </c>
      <c r="P24" s="98"/>
    </row>
    <row r="25" spans="2:17" x14ac:dyDescent="0.25">
      <c r="B25" s="14"/>
      <c r="C25" s="14"/>
      <c r="D25" s="14"/>
      <c r="E25" s="14"/>
      <c r="F25" s="14"/>
      <c r="G25" s="14" t="s">
        <v>3644</v>
      </c>
      <c r="H25" s="14"/>
      <c r="O25" s="98"/>
      <c r="P25" s="98"/>
    </row>
    <row r="26" spans="2:17" x14ac:dyDescent="0.25">
      <c r="B26" s="13" t="s">
        <v>3645</v>
      </c>
      <c r="C26" s="252" t="s">
        <v>392</v>
      </c>
      <c r="D26" s="252"/>
      <c r="E26" s="252" t="s">
        <v>789</v>
      </c>
      <c r="F26" s="252"/>
      <c r="G26" s="14"/>
      <c r="H26" s="14"/>
      <c r="O26" s="107" t="e">
        <f>SUM(1*#REF!)/45</f>
        <v>#REF!</v>
      </c>
      <c r="P26" s="99"/>
    </row>
    <row r="27" spans="2:17" x14ac:dyDescent="0.25">
      <c r="B27" s="8"/>
      <c r="C27" s="8"/>
      <c r="D27" s="8"/>
      <c r="E27" s="8"/>
      <c r="F27" s="8"/>
      <c r="G27" s="14"/>
      <c r="P27" s="100"/>
    </row>
    <row r="28" spans="2:17" x14ac:dyDescent="0.25">
      <c r="B28" s="24" t="s">
        <v>3646</v>
      </c>
      <c r="C28" s="294" t="s">
        <v>3647</v>
      </c>
      <c r="D28" s="294"/>
      <c r="E28" s="294" t="s">
        <v>3648</v>
      </c>
      <c r="F28" s="294"/>
      <c r="G28" s="14"/>
      <c r="O28" s="105" t="e">
        <f>SUM(4.75*#REF!)/45</f>
        <v>#REF!</v>
      </c>
      <c r="P28" s="100"/>
    </row>
    <row r="29" spans="2:17" x14ac:dyDescent="0.25">
      <c r="B29" s="24" t="s">
        <v>3649</v>
      </c>
      <c r="C29" s="24"/>
      <c r="D29" s="24"/>
      <c r="E29" s="24"/>
      <c r="F29" s="24"/>
      <c r="O29" s="100" t="e">
        <f>SUM(O6:O28)</f>
        <v>#REF!</v>
      </c>
      <c r="P29" s="98" t="s">
        <v>3650</v>
      </c>
      <c r="Q29" s="98"/>
    </row>
    <row r="30" spans="2:17" x14ac:dyDescent="0.25">
      <c r="B30" s="217" t="s">
        <v>401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O30" s="100" t="e">
        <f>SUM(O6:O28)-O26</f>
        <v>#REF!</v>
      </c>
      <c r="P30" t="s">
        <v>3651</v>
      </c>
    </row>
    <row r="31" spans="2:17" x14ac:dyDescent="0.25">
      <c r="B31" s="3" t="s">
        <v>402</v>
      </c>
      <c r="C31" s="232" t="s">
        <v>403</v>
      </c>
      <c r="D31" s="232"/>
      <c r="E31" s="232" t="s">
        <v>467</v>
      </c>
      <c r="F31" s="232"/>
      <c r="G31" s="232" t="s">
        <v>405</v>
      </c>
      <c r="H31" s="232"/>
      <c r="I31" s="232" t="s">
        <v>406</v>
      </c>
      <c r="J31" s="232"/>
      <c r="K31" s="234" t="s">
        <v>468</v>
      </c>
      <c r="L31" s="235"/>
      <c r="M31" s="236"/>
    </row>
    <row r="32" spans="2:17" ht="15.75" thickBot="1" x14ac:dyDescent="0.3">
      <c r="B32" s="4"/>
      <c r="C32" s="237">
        <v>2.2000000000000002</v>
      </c>
      <c r="D32" s="238"/>
      <c r="E32" s="239"/>
      <c r="F32" s="238"/>
      <c r="G32" s="240">
        <v>3.7999999999999999E-2</v>
      </c>
      <c r="H32" s="240"/>
      <c r="I32" s="241"/>
      <c r="J32" s="241"/>
      <c r="K32" s="242"/>
      <c r="L32" s="243"/>
      <c r="M32" s="244"/>
    </row>
    <row r="33" spans="2:15" x14ac:dyDescent="0.25">
      <c r="B33" s="1"/>
      <c r="C33" s="1"/>
      <c r="D33" s="1"/>
      <c r="E33" s="1"/>
      <c r="F33" s="1"/>
      <c r="G33" s="1"/>
      <c r="H33" s="1"/>
    </row>
    <row r="34" spans="2:15" x14ac:dyDescent="0.25">
      <c r="B34" s="217" t="s">
        <v>408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9"/>
    </row>
    <row r="35" spans="2:15" x14ac:dyDescent="0.25">
      <c r="B35" s="122" t="s">
        <v>3652</v>
      </c>
      <c r="C35" s="220" t="s">
        <v>3653</v>
      </c>
      <c r="D35" s="220"/>
      <c r="E35" s="221" t="s">
        <v>3654</v>
      </c>
      <c r="F35" s="221"/>
      <c r="G35" s="221" t="s">
        <v>3655</v>
      </c>
      <c r="H35" s="221"/>
      <c r="I35" s="220" t="s">
        <v>3656</v>
      </c>
      <c r="J35" s="220"/>
      <c r="K35" s="220" t="s">
        <v>3657</v>
      </c>
      <c r="L35" s="220"/>
      <c r="M35" s="222"/>
    </row>
    <row r="36" spans="2:15" x14ac:dyDescent="0.25">
      <c r="B36" s="124" t="s">
        <v>3658</v>
      </c>
      <c r="C36" s="245" t="s">
        <v>3659</v>
      </c>
      <c r="D36" s="246"/>
      <c r="E36" s="247" t="s">
        <v>3660</v>
      </c>
      <c r="F36" s="247"/>
      <c r="G36" s="247" t="s">
        <v>3661</v>
      </c>
      <c r="H36" s="247"/>
      <c r="I36" s="248" t="s">
        <v>3662</v>
      </c>
      <c r="J36" s="248"/>
      <c r="K36" s="247" t="s">
        <v>3663</v>
      </c>
      <c r="L36" s="247"/>
      <c r="M36" s="249"/>
    </row>
    <row r="37" spans="2:15" ht="15.75" customHeight="1" x14ac:dyDescent="0.25">
      <c r="B37" s="168" t="s">
        <v>3664</v>
      </c>
      <c r="C37" s="257" t="s">
        <v>3665</v>
      </c>
      <c r="D37" s="258"/>
      <c r="E37" s="259" t="s">
        <v>3666</v>
      </c>
      <c r="F37" s="259"/>
      <c r="G37" s="260" t="s">
        <v>3667</v>
      </c>
      <c r="H37" s="260"/>
      <c r="I37" s="260" t="s">
        <v>3668</v>
      </c>
      <c r="J37" s="260"/>
      <c r="K37" s="260"/>
      <c r="L37" s="260"/>
      <c r="M37" s="261"/>
    </row>
    <row r="38" spans="2:15" x14ac:dyDescent="0.25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40" spans="2:15" ht="23.25" x14ac:dyDescent="0.35">
      <c r="B40" s="29" t="s">
        <v>334</v>
      </c>
      <c r="C40" s="229" t="s">
        <v>67</v>
      </c>
      <c r="D40" s="229"/>
      <c r="E40" s="229"/>
      <c r="F40" s="229"/>
      <c r="G40" s="229"/>
      <c r="H40" s="229"/>
      <c r="I40" s="229"/>
      <c r="J40" s="229"/>
    </row>
    <row r="41" spans="2:15" ht="18.75" x14ac:dyDescent="0.3">
      <c r="B41" s="12" t="s">
        <v>335</v>
      </c>
      <c r="C41" s="1" t="s">
        <v>2</v>
      </c>
      <c r="D41" s="228" t="s">
        <v>427</v>
      </c>
      <c r="E41" s="228"/>
      <c r="F41" s="1" t="s">
        <v>3669</v>
      </c>
      <c r="L41" s="12" t="s">
        <v>339</v>
      </c>
      <c r="M41" s="6" t="s">
        <v>66</v>
      </c>
    </row>
    <row r="43" spans="2:15" x14ac:dyDescent="0.25">
      <c r="B43" s="2" t="s">
        <v>341</v>
      </c>
      <c r="C43" s="250" t="s">
        <v>429</v>
      </c>
      <c r="D43" s="250"/>
      <c r="E43" s="250" t="s">
        <v>430</v>
      </c>
      <c r="F43" s="250"/>
      <c r="G43" s="228" t="s">
        <v>345</v>
      </c>
      <c r="H43" s="228"/>
      <c r="I43" s="228"/>
      <c r="J43" s="228"/>
      <c r="K43" s="228"/>
      <c r="L43" s="228"/>
      <c r="M43" s="228"/>
      <c r="O43" s="101" t="s">
        <v>732</v>
      </c>
    </row>
    <row r="45" spans="2:15" x14ac:dyDescent="0.25">
      <c r="B45" s="11" t="s">
        <v>3670</v>
      </c>
      <c r="C45" s="230" t="s">
        <v>3197</v>
      </c>
      <c r="D45" s="230"/>
      <c r="E45" s="230" t="s">
        <v>3137</v>
      </c>
      <c r="F45" s="230"/>
      <c r="G45" s="14" t="s">
        <v>3671</v>
      </c>
      <c r="O45" s="98">
        <v>0.28249999999999997</v>
      </c>
    </row>
    <row r="46" spans="2:15" x14ac:dyDescent="0.25">
      <c r="B46" s="11"/>
      <c r="C46" s="185"/>
      <c r="D46" s="185"/>
      <c r="E46" s="185"/>
      <c r="F46" s="185"/>
      <c r="G46" s="14" t="s">
        <v>3672</v>
      </c>
      <c r="O46" s="98"/>
    </row>
    <row r="47" spans="2:15" x14ac:dyDescent="0.25">
      <c r="B47" s="1" t="s">
        <v>3673</v>
      </c>
      <c r="C47" s="283" t="s">
        <v>3674</v>
      </c>
      <c r="D47" s="283"/>
      <c r="E47" s="283" t="s">
        <v>3675</v>
      </c>
      <c r="F47" s="283"/>
      <c r="G47" s="14" t="s">
        <v>3676</v>
      </c>
      <c r="O47" s="98">
        <v>0.317</v>
      </c>
    </row>
    <row r="48" spans="2:15" x14ac:dyDescent="0.25">
      <c r="B48" s="1" t="s">
        <v>3677</v>
      </c>
      <c r="C48" s="195"/>
      <c r="D48" s="195"/>
      <c r="E48" s="283"/>
      <c r="F48" s="283"/>
      <c r="G48" s="14" t="s">
        <v>3678</v>
      </c>
      <c r="O48" s="98"/>
    </row>
    <row r="49" spans="2:16" x14ac:dyDescent="0.25">
      <c r="B49" s="11" t="s">
        <v>3679</v>
      </c>
      <c r="C49" s="230" t="s">
        <v>3680</v>
      </c>
      <c r="D49" s="230"/>
      <c r="E49" s="230" t="s">
        <v>3681</v>
      </c>
      <c r="F49" s="230"/>
      <c r="G49" s="14" t="s">
        <v>3682</v>
      </c>
      <c r="O49" s="98">
        <v>0.27983999999999998</v>
      </c>
    </row>
    <row r="50" spans="2:16" x14ac:dyDescent="0.25">
      <c r="B50" s="11" t="s">
        <v>3677</v>
      </c>
      <c r="C50" s="185"/>
      <c r="D50" s="185"/>
      <c r="E50" s="185"/>
      <c r="F50" s="185"/>
      <c r="G50" s="14" t="s">
        <v>3683</v>
      </c>
      <c r="O50" s="98"/>
    </row>
    <row r="51" spans="2:16" x14ac:dyDescent="0.25">
      <c r="B51" s="1" t="s">
        <v>3684</v>
      </c>
      <c r="C51" s="283" t="s">
        <v>3685</v>
      </c>
      <c r="D51" s="283"/>
      <c r="E51" s="283" t="s">
        <v>3686</v>
      </c>
      <c r="F51" s="283"/>
      <c r="G51" s="14" t="s">
        <v>3687</v>
      </c>
      <c r="O51" s="99">
        <f>Q88</f>
        <v>7.0219249999999997E-2</v>
      </c>
      <c r="P51" t="s">
        <v>3651</v>
      </c>
    </row>
    <row r="52" spans="2:16" x14ac:dyDescent="0.25">
      <c r="B52" s="1" t="s">
        <v>3688</v>
      </c>
      <c r="C52" s="189"/>
      <c r="D52" s="189"/>
      <c r="E52" s="189"/>
      <c r="F52" s="189"/>
      <c r="G52" s="14" t="s">
        <v>3689</v>
      </c>
      <c r="H52" s="14"/>
      <c r="O52" s="98"/>
    </row>
    <row r="53" spans="2:16" x14ac:dyDescent="0.25">
      <c r="G53" s="14" t="s">
        <v>3690</v>
      </c>
      <c r="O53" s="100">
        <f>SUM(O45:O51)</f>
        <v>0.94955924999999985</v>
      </c>
    </row>
    <row r="54" spans="2:16" ht="15.75" thickBot="1" x14ac:dyDescent="0.3"/>
    <row r="55" spans="2:16" x14ac:dyDescent="0.25">
      <c r="B55" s="217" t="s">
        <v>401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9"/>
    </row>
    <row r="56" spans="2:16" x14ac:dyDescent="0.25">
      <c r="B56" s="3" t="s">
        <v>402</v>
      </c>
      <c r="C56" s="232" t="s">
        <v>403</v>
      </c>
      <c r="D56" s="232"/>
      <c r="E56" s="232" t="s">
        <v>467</v>
      </c>
      <c r="F56" s="232"/>
      <c r="G56" s="232" t="s">
        <v>405</v>
      </c>
      <c r="H56" s="232"/>
      <c r="I56" s="232" t="s">
        <v>406</v>
      </c>
      <c r="J56" s="232"/>
      <c r="K56" s="234" t="s">
        <v>468</v>
      </c>
      <c r="L56" s="235"/>
      <c r="M56" s="236"/>
    </row>
    <row r="57" spans="2:16" ht="36" x14ac:dyDescent="0.25">
      <c r="B57" s="113" t="s">
        <v>3691</v>
      </c>
      <c r="C57" s="237">
        <v>0.5</v>
      </c>
      <c r="D57" s="238"/>
      <c r="E57" s="239"/>
      <c r="F57" s="238"/>
      <c r="G57" s="240">
        <v>0.7</v>
      </c>
      <c r="H57" s="240"/>
      <c r="I57" s="241"/>
      <c r="J57" s="241"/>
      <c r="K57" s="242"/>
      <c r="L57" s="243"/>
      <c r="M57" s="244"/>
    </row>
    <row r="58" spans="2:16" ht="15.75" thickBot="1" x14ac:dyDescent="0.3">
      <c r="B58" s="1"/>
      <c r="C58" s="1"/>
      <c r="D58" s="1"/>
      <c r="E58" s="1"/>
      <c r="F58" s="1"/>
      <c r="G58" s="1"/>
      <c r="H58" s="1"/>
    </row>
    <row r="59" spans="2:16" x14ac:dyDescent="0.25">
      <c r="B59" s="217" t="s">
        <v>408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9"/>
    </row>
    <row r="60" spans="2:16" x14ac:dyDescent="0.25">
      <c r="B60" s="20" t="s">
        <v>3692</v>
      </c>
      <c r="C60" s="17" t="s">
        <v>3693</v>
      </c>
      <c r="D60" s="19"/>
      <c r="E60" s="268" t="s">
        <v>3694</v>
      </c>
      <c r="F60" s="268"/>
      <c r="G60" s="268" t="s">
        <v>3695</v>
      </c>
      <c r="H60" s="268"/>
      <c r="I60" s="268" t="s">
        <v>3696</v>
      </c>
      <c r="J60" s="268"/>
      <c r="K60" s="268" t="s">
        <v>3697</v>
      </c>
      <c r="L60" s="268"/>
      <c r="M60" s="324"/>
    </row>
    <row r="61" spans="2:16" x14ac:dyDescent="0.25">
      <c r="B61" s="20" t="s">
        <v>3698</v>
      </c>
      <c r="C61" s="17" t="s">
        <v>3699</v>
      </c>
      <c r="D61" s="19"/>
      <c r="E61" s="268" t="s">
        <v>3700</v>
      </c>
      <c r="F61" s="268"/>
      <c r="G61" s="268" t="s">
        <v>3701</v>
      </c>
      <c r="H61" s="268"/>
      <c r="I61" s="268" t="s">
        <v>3702</v>
      </c>
      <c r="J61" s="268"/>
      <c r="K61" s="268" t="s">
        <v>3703</v>
      </c>
      <c r="L61" s="268"/>
      <c r="M61" s="324"/>
    </row>
    <row r="62" spans="2:16" ht="15.75" thickBot="1" x14ac:dyDescent="0.3">
      <c r="B62" s="21" t="s">
        <v>3704</v>
      </c>
      <c r="C62" s="18" t="s">
        <v>3705</v>
      </c>
      <c r="D62" s="22"/>
      <c r="E62" s="266" t="s">
        <v>3706</v>
      </c>
      <c r="F62" s="266"/>
      <c r="G62" s="266" t="s">
        <v>3707</v>
      </c>
      <c r="H62" s="266"/>
      <c r="I62" s="281" t="s">
        <v>3708</v>
      </c>
      <c r="J62" s="282"/>
      <c r="K62" s="281" t="s">
        <v>3709</v>
      </c>
      <c r="L62" s="325"/>
      <c r="M62" s="326"/>
    </row>
    <row r="64" spans="2:16" ht="23.25" x14ac:dyDescent="0.35">
      <c r="B64" s="29" t="s">
        <v>334</v>
      </c>
      <c r="C64" s="229" t="s">
        <v>52</v>
      </c>
      <c r="D64" s="229"/>
      <c r="E64" s="229"/>
      <c r="F64" s="229"/>
      <c r="G64" s="229"/>
    </row>
    <row r="65" spans="2:15" ht="18.75" x14ac:dyDescent="0.3">
      <c r="B65" s="12" t="s">
        <v>335</v>
      </c>
      <c r="C65" s="1" t="s">
        <v>2</v>
      </c>
      <c r="D65" s="228" t="s">
        <v>427</v>
      </c>
      <c r="E65" s="228"/>
      <c r="F65" s="1" t="s">
        <v>3710</v>
      </c>
      <c r="L65" s="12" t="s">
        <v>339</v>
      </c>
      <c r="M65" s="6" t="s">
        <v>51</v>
      </c>
    </row>
    <row r="67" spans="2:15" x14ac:dyDescent="0.25">
      <c r="B67" s="2" t="s">
        <v>341</v>
      </c>
      <c r="C67" s="250" t="s">
        <v>805</v>
      </c>
      <c r="D67" s="250"/>
      <c r="E67" s="250" t="s">
        <v>1260</v>
      </c>
      <c r="F67" s="250"/>
      <c r="G67" s="228" t="s">
        <v>345</v>
      </c>
      <c r="H67" s="228"/>
      <c r="I67" s="228"/>
      <c r="J67" s="228"/>
      <c r="K67" s="228"/>
      <c r="L67" s="228"/>
      <c r="M67" s="228"/>
      <c r="O67" s="101" t="s">
        <v>732</v>
      </c>
    </row>
    <row r="69" spans="2:15" x14ac:dyDescent="0.25">
      <c r="B69" s="11" t="s">
        <v>2879</v>
      </c>
      <c r="C69" s="230" t="s">
        <v>3711</v>
      </c>
      <c r="D69" s="230"/>
      <c r="E69" s="230" t="s">
        <v>3712</v>
      </c>
      <c r="F69" s="230"/>
      <c r="G69" s="14" t="s">
        <v>3713</v>
      </c>
      <c r="H69" s="14"/>
      <c r="O69" s="98">
        <v>3.6400000000000002E-2</v>
      </c>
    </row>
    <row r="70" spans="2:15" x14ac:dyDescent="0.25">
      <c r="B70" s="11"/>
      <c r="C70" s="185"/>
      <c r="D70" s="185"/>
      <c r="E70" s="185"/>
      <c r="F70" s="185"/>
      <c r="G70" s="14" t="s">
        <v>3714</v>
      </c>
      <c r="H70" s="14"/>
      <c r="O70" s="98"/>
    </row>
    <row r="71" spans="2:15" x14ac:dyDescent="0.25">
      <c r="B71" s="1" t="s">
        <v>3715</v>
      </c>
      <c r="C71" s="283" t="s">
        <v>374</v>
      </c>
      <c r="D71" s="283"/>
      <c r="E71" s="283" t="s">
        <v>1194</v>
      </c>
      <c r="F71" s="283"/>
      <c r="G71" s="14" t="s">
        <v>3716</v>
      </c>
      <c r="H71" s="14"/>
      <c r="O71" s="98">
        <v>0</v>
      </c>
    </row>
    <row r="72" spans="2:15" x14ac:dyDescent="0.25">
      <c r="B72" s="1"/>
      <c r="C72" s="283"/>
      <c r="D72" s="283"/>
      <c r="E72" s="283"/>
      <c r="F72" s="283"/>
      <c r="G72" s="14" t="s">
        <v>3717</v>
      </c>
      <c r="H72" s="14"/>
      <c r="O72" s="98"/>
    </row>
    <row r="73" spans="2:15" x14ac:dyDescent="0.25">
      <c r="B73" s="11" t="s">
        <v>1048</v>
      </c>
      <c r="C73" s="230" t="s">
        <v>1822</v>
      </c>
      <c r="D73" s="230"/>
      <c r="E73" s="230" t="s">
        <v>1853</v>
      </c>
      <c r="F73" s="230"/>
      <c r="G73" s="14" t="s">
        <v>3718</v>
      </c>
      <c r="H73" s="14"/>
      <c r="O73" s="98">
        <v>5.3800000000000002E-3</v>
      </c>
    </row>
    <row r="74" spans="2:15" x14ac:dyDescent="0.25">
      <c r="B74" s="11"/>
      <c r="C74" s="185"/>
      <c r="D74" s="185"/>
      <c r="E74" s="185"/>
      <c r="F74" s="185"/>
      <c r="G74" s="14" t="s">
        <v>3719</v>
      </c>
      <c r="H74" s="14"/>
      <c r="O74" s="98"/>
    </row>
    <row r="75" spans="2:15" x14ac:dyDescent="0.25">
      <c r="B75" s="1" t="s">
        <v>3720</v>
      </c>
      <c r="C75" s="283" t="s">
        <v>392</v>
      </c>
      <c r="D75" s="283"/>
      <c r="E75" s="283" t="s">
        <v>789</v>
      </c>
      <c r="F75" s="283"/>
      <c r="G75" s="14" t="s">
        <v>3721</v>
      </c>
      <c r="H75" s="14"/>
      <c r="O75" s="102">
        <v>3.7439999999999999E-3</v>
      </c>
    </row>
    <row r="76" spans="2:15" x14ac:dyDescent="0.25">
      <c r="B76" s="1"/>
      <c r="C76" s="195"/>
      <c r="D76" s="195"/>
      <c r="E76" s="195"/>
      <c r="F76" s="195"/>
      <c r="G76" s="14" t="s">
        <v>3722</v>
      </c>
      <c r="H76" s="14"/>
      <c r="O76" s="98"/>
    </row>
    <row r="77" spans="2:15" x14ac:dyDescent="0.25">
      <c r="B77" s="11" t="s">
        <v>677</v>
      </c>
      <c r="C77" s="230" t="s">
        <v>667</v>
      </c>
      <c r="D77" s="230"/>
      <c r="E77" s="230" t="s">
        <v>1326</v>
      </c>
      <c r="F77" s="230"/>
      <c r="G77" s="14" t="s">
        <v>1830</v>
      </c>
      <c r="H77" s="14" t="s">
        <v>3723</v>
      </c>
      <c r="O77" s="102">
        <v>1.79875E-3</v>
      </c>
    </row>
    <row r="78" spans="2:15" x14ac:dyDescent="0.25">
      <c r="B78" s="11"/>
      <c r="C78" s="11"/>
      <c r="D78" s="11"/>
      <c r="E78" s="11"/>
      <c r="F78" s="11"/>
      <c r="G78" s="14"/>
      <c r="H78" s="14" t="s">
        <v>3724</v>
      </c>
      <c r="O78" s="98"/>
    </row>
    <row r="79" spans="2:15" x14ac:dyDescent="0.25">
      <c r="B79" s="1" t="s">
        <v>1710</v>
      </c>
      <c r="C79" s="283" t="s">
        <v>392</v>
      </c>
      <c r="D79" s="283"/>
      <c r="E79" s="283" t="s">
        <v>789</v>
      </c>
      <c r="F79" s="283"/>
      <c r="G79" s="14" t="s">
        <v>3725</v>
      </c>
      <c r="H79" s="14"/>
      <c r="O79" s="98">
        <v>2.0400000000000001E-2</v>
      </c>
    </row>
    <row r="80" spans="2:15" x14ac:dyDescent="0.25">
      <c r="B80" s="1"/>
      <c r="C80" s="1"/>
      <c r="D80" s="1"/>
      <c r="E80" s="1"/>
      <c r="F80" s="1"/>
      <c r="G80" s="14" t="s">
        <v>3726</v>
      </c>
      <c r="H80" s="14"/>
      <c r="O80" s="98"/>
    </row>
    <row r="81" spans="2:17" x14ac:dyDescent="0.25">
      <c r="B81" s="11" t="s">
        <v>518</v>
      </c>
      <c r="C81" s="230" t="s">
        <v>516</v>
      </c>
      <c r="D81" s="230"/>
      <c r="E81" s="230" t="s">
        <v>513</v>
      </c>
      <c r="F81" s="230"/>
      <c r="G81" s="14"/>
      <c r="H81" s="14"/>
      <c r="O81" s="104">
        <v>3.0000000000000001E-5</v>
      </c>
    </row>
    <row r="82" spans="2:17" x14ac:dyDescent="0.25">
      <c r="B82" s="11"/>
      <c r="C82" s="11"/>
      <c r="D82" s="11"/>
      <c r="E82" s="11"/>
      <c r="F82" s="11"/>
      <c r="G82" s="14"/>
      <c r="H82" s="14"/>
      <c r="O82" s="98"/>
    </row>
    <row r="83" spans="2:17" x14ac:dyDescent="0.25">
      <c r="B83" s="1" t="s">
        <v>3727</v>
      </c>
      <c r="C83" s="283" t="s">
        <v>486</v>
      </c>
      <c r="D83" s="283"/>
      <c r="E83" s="283" t="s">
        <v>744</v>
      </c>
      <c r="F83" s="283"/>
      <c r="G83" s="14"/>
      <c r="H83" s="14"/>
      <c r="O83" s="102">
        <v>1.9664999999999999E-3</v>
      </c>
    </row>
    <row r="84" spans="2:17" x14ac:dyDescent="0.25">
      <c r="B84" s="1"/>
      <c r="C84" s="1"/>
      <c r="D84" s="1"/>
      <c r="E84" s="1"/>
      <c r="F84" s="1"/>
      <c r="G84" s="14"/>
      <c r="H84" s="14"/>
      <c r="O84" s="98"/>
    </row>
    <row r="85" spans="2:17" x14ac:dyDescent="0.25">
      <c r="B85" s="11" t="s">
        <v>3728</v>
      </c>
      <c r="C85" s="230" t="s">
        <v>486</v>
      </c>
      <c r="D85" s="230"/>
      <c r="E85" s="230" t="s">
        <v>744</v>
      </c>
      <c r="F85" s="230"/>
      <c r="G85" s="14"/>
      <c r="H85" s="14"/>
      <c r="O85" s="102">
        <v>5.0000000000000001E-4</v>
      </c>
    </row>
    <row r="86" spans="2:17" x14ac:dyDescent="0.25">
      <c r="B86" s="11"/>
      <c r="C86" s="11"/>
      <c r="D86" s="11"/>
      <c r="E86" s="11"/>
      <c r="F86" s="11"/>
      <c r="G86" s="15"/>
      <c r="H86" s="14"/>
      <c r="O86" s="98"/>
    </row>
    <row r="87" spans="2:17" x14ac:dyDescent="0.25">
      <c r="B87" s="1" t="s">
        <v>3729</v>
      </c>
      <c r="C87" s="283" t="s">
        <v>789</v>
      </c>
      <c r="D87" s="283"/>
      <c r="E87" s="283" t="s">
        <v>1497</v>
      </c>
      <c r="F87" s="283"/>
      <c r="G87" s="15"/>
      <c r="H87" s="14"/>
      <c r="O87" s="99">
        <v>1.4999999999999999E-2</v>
      </c>
    </row>
    <row r="88" spans="2:17" x14ac:dyDescent="0.25">
      <c r="B88" s="14"/>
      <c r="C88" s="14"/>
      <c r="D88" s="14"/>
      <c r="E88" s="14"/>
      <c r="F88" s="14"/>
      <c r="G88" s="15"/>
      <c r="H88" s="14"/>
      <c r="O88" s="98"/>
      <c r="Q88" s="100">
        <f>SUM(O69:O85)</f>
        <v>7.0219249999999997E-2</v>
      </c>
    </row>
    <row r="89" spans="2:17" x14ac:dyDescent="0.25">
      <c r="B89" s="217" t="s">
        <v>401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9"/>
      <c r="O89" s="100">
        <f>SUM(O69:O87)</f>
        <v>8.5219249999999996E-2</v>
      </c>
      <c r="Q89" t="s">
        <v>3651</v>
      </c>
    </row>
    <row r="90" spans="2:17" x14ac:dyDescent="0.25">
      <c r="B90" s="3" t="s">
        <v>402</v>
      </c>
      <c r="C90" s="232" t="s">
        <v>403</v>
      </c>
      <c r="D90" s="232"/>
      <c r="E90" s="232" t="s">
        <v>467</v>
      </c>
      <c r="F90" s="232"/>
      <c r="G90" s="232" t="s">
        <v>3730</v>
      </c>
      <c r="H90" s="232"/>
      <c r="I90" s="232" t="s">
        <v>3731</v>
      </c>
      <c r="J90" s="232"/>
      <c r="K90" s="234" t="s">
        <v>468</v>
      </c>
      <c r="L90" s="235"/>
      <c r="M90" s="236"/>
    </row>
    <row r="91" spans="2:17" ht="15.75" thickBot="1" x14ac:dyDescent="0.3">
      <c r="B91" s="5" t="s">
        <v>3732</v>
      </c>
      <c r="C91" s="237">
        <v>0.496</v>
      </c>
      <c r="D91" s="238"/>
      <c r="E91" s="239"/>
      <c r="F91" s="238"/>
      <c r="G91" s="240">
        <v>0.16</v>
      </c>
      <c r="H91" s="240"/>
      <c r="I91" s="241">
        <v>1.6E-2</v>
      </c>
      <c r="J91" s="241"/>
      <c r="K91" s="242"/>
      <c r="L91" s="243"/>
      <c r="M91" s="244"/>
    </row>
    <row r="92" spans="2:17" x14ac:dyDescent="0.25">
      <c r="B92" s="1"/>
      <c r="C92" s="1"/>
      <c r="D92" s="1"/>
      <c r="E92" s="1"/>
      <c r="F92" s="1"/>
      <c r="G92" s="1"/>
      <c r="H92" s="1"/>
    </row>
    <row r="93" spans="2:17" x14ac:dyDescent="0.25">
      <c r="B93" s="217" t="s">
        <v>408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9"/>
    </row>
    <row r="94" spans="2:17" x14ac:dyDescent="0.25">
      <c r="B94" s="122" t="s">
        <v>3733</v>
      </c>
      <c r="C94" s="220" t="s">
        <v>3734</v>
      </c>
      <c r="D94" s="220"/>
      <c r="E94" s="221" t="s">
        <v>3735</v>
      </c>
      <c r="F94" s="221"/>
      <c r="G94" s="221" t="s">
        <v>692</v>
      </c>
      <c r="H94" s="221"/>
      <c r="I94" s="220" t="s">
        <v>3736</v>
      </c>
      <c r="J94" s="220"/>
      <c r="K94" s="220" t="s">
        <v>3737</v>
      </c>
      <c r="L94" s="220"/>
      <c r="M94" s="222"/>
    </row>
    <row r="95" spans="2:17" x14ac:dyDescent="0.25">
      <c r="B95" s="123" t="s">
        <v>915</v>
      </c>
      <c r="C95" s="225" t="s">
        <v>3738</v>
      </c>
      <c r="D95" s="226"/>
      <c r="E95" s="223" t="s">
        <v>567</v>
      </c>
      <c r="F95" s="223"/>
      <c r="G95" s="223" t="s">
        <v>3739</v>
      </c>
      <c r="H95" s="223"/>
      <c r="I95" s="227" t="s">
        <v>569</v>
      </c>
      <c r="J95" s="227"/>
      <c r="K95" s="223" t="s">
        <v>697</v>
      </c>
      <c r="L95" s="223"/>
      <c r="M95" s="224"/>
    </row>
    <row r="96" spans="2:17" ht="15.75" customHeight="1" x14ac:dyDescent="0.25">
      <c r="B96" s="123" t="s">
        <v>2967</v>
      </c>
      <c r="C96" s="225" t="s">
        <v>422</v>
      </c>
      <c r="D96" s="226"/>
      <c r="E96" s="227" t="s">
        <v>3740</v>
      </c>
      <c r="F96" s="227"/>
      <c r="G96" s="223" t="s">
        <v>573</v>
      </c>
      <c r="H96" s="223"/>
      <c r="I96" s="223" t="s">
        <v>574</v>
      </c>
      <c r="J96" s="223"/>
      <c r="K96" s="223" t="s">
        <v>575</v>
      </c>
      <c r="L96" s="223"/>
      <c r="M96" s="224"/>
    </row>
    <row r="98" spans="2:15" ht="23.25" x14ac:dyDescent="0.35">
      <c r="B98" s="29" t="s">
        <v>334</v>
      </c>
      <c r="C98" s="229" t="s">
        <v>42</v>
      </c>
      <c r="D98" s="229"/>
      <c r="E98" s="229"/>
      <c r="F98" s="229"/>
      <c r="G98" s="229"/>
      <c r="H98" s="229"/>
      <c r="I98" s="229"/>
      <c r="J98" s="229"/>
      <c r="O98" s="101" t="s">
        <v>481</v>
      </c>
    </row>
    <row r="99" spans="2:15" ht="18.75" x14ac:dyDescent="0.3">
      <c r="B99" s="12" t="s">
        <v>335</v>
      </c>
      <c r="C99" s="195" t="s">
        <v>2</v>
      </c>
      <c r="D99" s="228" t="s">
        <v>427</v>
      </c>
      <c r="E99" s="228"/>
      <c r="F99" s="1" t="s">
        <v>1373</v>
      </c>
      <c r="L99" s="12" t="s">
        <v>339</v>
      </c>
      <c r="M99" s="6" t="s">
        <v>41</v>
      </c>
    </row>
    <row r="101" spans="2:15" x14ac:dyDescent="0.25">
      <c r="B101" s="2" t="s">
        <v>341</v>
      </c>
      <c r="C101" s="250" t="s">
        <v>3741</v>
      </c>
      <c r="D101" s="250"/>
      <c r="E101" s="228" t="s">
        <v>345</v>
      </c>
      <c r="F101" s="228"/>
      <c r="G101" s="228"/>
      <c r="H101" s="228"/>
      <c r="I101" s="228"/>
      <c r="O101" s="101" t="s">
        <v>1262</v>
      </c>
    </row>
    <row r="102" spans="2:15" x14ac:dyDescent="0.25">
      <c r="C102" s="251"/>
      <c r="D102" s="251"/>
      <c r="E102" s="7"/>
      <c r="F102" s="7"/>
      <c r="G102" s="7"/>
      <c r="H102" s="7"/>
      <c r="I102" s="7"/>
    </row>
    <row r="103" spans="2:15" x14ac:dyDescent="0.25">
      <c r="B103" s="11" t="s">
        <v>3742</v>
      </c>
      <c r="C103" s="252" t="s">
        <v>3743</v>
      </c>
      <c r="D103" s="252"/>
      <c r="E103" s="14" t="s">
        <v>3744</v>
      </c>
      <c r="F103" s="7"/>
      <c r="G103" s="7"/>
      <c r="H103" s="7"/>
      <c r="I103" s="7"/>
      <c r="O103" s="98" t="e">
        <f>SUM(3.125*#REF!)/40</f>
        <v>#REF!</v>
      </c>
    </row>
    <row r="104" spans="2:15" x14ac:dyDescent="0.25">
      <c r="B104" s="11"/>
      <c r="C104" s="188"/>
      <c r="D104" s="188"/>
      <c r="E104" s="14" t="s">
        <v>3745</v>
      </c>
      <c r="F104" s="7"/>
      <c r="G104" s="7"/>
      <c r="H104" s="7"/>
      <c r="I104" s="7"/>
      <c r="O104" s="98"/>
    </row>
    <row r="105" spans="2:15" x14ac:dyDescent="0.25">
      <c r="B105" s="1" t="s">
        <v>3746</v>
      </c>
      <c r="C105" s="253" t="s">
        <v>383</v>
      </c>
      <c r="D105" s="253"/>
      <c r="E105" s="14" t="s">
        <v>3747</v>
      </c>
      <c r="F105" s="7"/>
      <c r="G105" s="7"/>
      <c r="H105" s="7"/>
      <c r="I105" s="7"/>
      <c r="O105" s="98" t="e">
        <f>SUM(2.5*#REF!)/40</f>
        <v>#REF!</v>
      </c>
    </row>
    <row r="106" spans="2:15" x14ac:dyDescent="0.25">
      <c r="B106" s="1"/>
      <c r="C106" s="189"/>
      <c r="D106" s="189"/>
      <c r="E106" s="14" t="s">
        <v>3748</v>
      </c>
      <c r="F106" s="7"/>
      <c r="G106" s="7"/>
      <c r="H106" s="7"/>
      <c r="I106" s="7"/>
      <c r="O106" s="98"/>
    </row>
    <row r="107" spans="2:15" x14ac:dyDescent="0.25">
      <c r="B107" s="11" t="s">
        <v>3749</v>
      </c>
      <c r="C107" s="252" t="s">
        <v>398</v>
      </c>
      <c r="D107" s="252"/>
      <c r="E107" s="14" t="s">
        <v>3750</v>
      </c>
      <c r="F107" s="7"/>
      <c r="G107" s="7"/>
      <c r="H107" s="7"/>
      <c r="I107" s="7"/>
      <c r="O107" s="98" t="e">
        <f>SUM(2.75*#REF!)/40</f>
        <v>#REF!</v>
      </c>
    </row>
    <row r="108" spans="2:15" x14ac:dyDescent="0.25">
      <c r="B108" s="11"/>
      <c r="C108" s="188"/>
      <c r="D108" s="188"/>
      <c r="E108" s="14" t="s">
        <v>3751</v>
      </c>
      <c r="F108" s="7"/>
      <c r="G108" s="7"/>
      <c r="H108" s="7"/>
      <c r="I108" s="7"/>
      <c r="O108" s="98"/>
    </row>
    <row r="109" spans="2:15" x14ac:dyDescent="0.25">
      <c r="B109" s="1" t="s">
        <v>677</v>
      </c>
      <c r="C109" s="253" t="s">
        <v>2563</v>
      </c>
      <c r="D109" s="253"/>
      <c r="E109" s="14" t="s">
        <v>3752</v>
      </c>
      <c r="F109" s="7"/>
      <c r="G109" s="7"/>
      <c r="H109" s="7"/>
      <c r="I109" s="7"/>
      <c r="O109" s="98" t="e">
        <f>SUM(11.5*#REF!)/40</f>
        <v>#REF!</v>
      </c>
    </row>
    <row r="110" spans="2:15" x14ac:dyDescent="0.25">
      <c r="B110" s="1"/>
      <c r="C110" s="189"/>
      <c r="D110" s="189"/>
      <c r="E110" s="14"/>
      <c r="F110" s="7"/>
      <c r="G110" s="7"/>
      <c r="H110" s="7"/>
      <c r="I110" s="7"/>
      <c r="O110" s="98"/>
    </row>
    <row r="111" spans="2:15" x14ac:dyDescent="0.25">
      <c r="B111" s="11" t="s">
        <v>1890</v>
      </c>
      <c r="C111" s="252" t="s">
        <v>2136</v>
      </c>
      <c r="D111" s="252"/>
      <c r="E111" s="322" t="s">
        <v>3753</v>
      </c>
      <c r="F111" s="322"/>
      <c r="G111" s="322"/>
      <c r="H111" s="327"/>
      <c r="I111" s="327"/>
      <c r="O111" s="98" t="e">
        <f>SUM(1.3*#REF!)/40</f>
        <v>#REF!</v>
      </c>
    </row>
    <row r="112" spans="2:15" x14ac:dyDescent="0.25">
      <c r="B112" s="11"/>
      <c r="C112" s="188"/>
      <c r="D112" s="188"/>
      <c r="E112" s="14" t="s">
        <v>518</v>
      </c>
      <c r="G112" s="7" t="s">
        <v>486</v>
      </c>
      <c r="H112" s="7"/>
      <c r="I112" s="7"/>
      <c r="O112" s="98"/>
    </row>
    <row r="113" spans="2:16" x14ac:dyDescent="0.25">
      <c r="B113" s="1" t="s">
        <v>3754</v>
      </c>
      <c r="C113" s="253" t="s">
        <v>3236</v>
      </c>
      <c r="D113" s="253"/>
      <c r="E113" s="14" t="s">
        <v>879</v>
      </c>
      <c r="G113" s="7" t="s">
        <v>486</v>
      </c>
      <c r="H113" s="7"/>
      <c r="I113" s="7"/>
      <c r="O113" s="98" t="e">
        <f>SUM(3.75*#REF!)/40</f>
        <v>#REF!</v>
      </c>
    </row>
    <row r="114" spans="2:16" x14ac:dyDescent="0.25">
      <c r="B114" s="1"/>
      <c r="C114" s="189"/>
      <c r="D114" s="189"/>
      <c r="E114" s="14" t="s">
        <v>515</v>
      </c>
      <c r="G114" s="7" t="s">
        <v>486</v>
      </c>
      <c r="H114" s="7"/>
      <c r="I114" s="7"/>
      <c r="O114" s="98"/>
    </row>
    <row r="115" spans="2:16" x14ac:dyDescent="0.25">
      <c r="B115" s="11" t="s">
        <v>961</v>
      </c>
      <c r="C115" s="265" t="s">
        <v>1019</v>
      </c>
      <c r="D115" s="265"/>
      <c r="E115" s="14" t="s">
        <v>454</v>
      </c>
      <c r="G115" s="7" t="s">
        <v>486</v>
      </c>
      <c r="H115" s="7"/>
      <c r="I115" s="7"/>
      <c r="O115" s="98" t="e">
        <f>SUM(5*#REF!)/40</f>
        <v>#REF!</v>
      </c>
    </row>
    <row r="116" spans="2:16" x14ac:dyDescent="0.25">
      <c r="B116" s="11"/>
      <c r="C116" s="188"/>
      <c r="D116" s="188"/>
      <c r="E116" s="14" t="s">
        <v>1396</v>
      </c>
      <c r="G116" s="7" t="s">
        <v>486</v>
      </c>
      <c r="O116" s="98"/>
    </row>
    <row r="117" spans="2:16" x14ac:dyDescent="0.25">
      <c r="B117" s="1" t="s">
        <v>1895</v>
      </c>
      <c r="C117" s="253" t="s">
        <v>383</v>
      </c>
      <c r="D117" s="253"/>
      <c r="E117" s="14" t="s">
        <v>1470</v>
      </c>
      <c r="G117" s="7" t="s">
        <v>486</v>
      </c>
      <c r="O117" s="98">
        <f>SUM(0.00975+0.3535+0.03+0.02+0.047+0.012+0.03)/40</f>
        <v>1.255625E-2</v>
      </c>
      <c r="P117" t="s">
        <v>3755</v>
      </c>
    </row>
    <row r="118" spans="2:16" x14ac:dyDescent="0.25">
      <c r="B118" s="1" t="s">
        <v>3756</v>
      </c>
      <c r="C118" s="189"/>
      <c r="D118" s="189"/>
      <c r="E118" s="14" t="s">
        <v>457</v>
      </c>
      <c r="G118" s="7" t="s">
        <v>486</v>
      </c>
      <c r="O118" s="98"/>
    </row>
    <row r="119" spans="2:16" x14ac:dyDescent="0.25">
      <c r="B119" s="11" t="s">
        <v>1233</v>
      </c>
      <c r="C119" s="252" t="s">
        <v>383</v>
      </c>
      <c r="D119" s="252"/>
      <c r="O119" s="98"/>
    </row>
    <row r="120" spans="2:16" x14ac:dyDescent="0.25">
      <c r="B120" s="11" t="s">
        <v>3756</v>
      </c>
      <c r="C120" s="188"/>
      <c r="D120" s="188"/>
      <c r="O120" s="98"/>
    </row>
    <row r="121" spans="2:16" x14ac:dyDescent="0.25">
      <c r="B121" s="1" t="s">
        <v>1408</v>
      </c>
      <c r="C121" s="253" t="s">
        <v>891</v>
      </c>
      <c r="D121" s="253"/>
      <c r="O121" s="102" t="e">
        <f>SUM(2.5*#REF!)/40</f>
        <v>#REF!</v>
      </c>
    </row>
    <row r="122" spans="2:16" x14ac:dyDescent="0.25">
      <c r="B122" s="1"/>
      <c r="C122" s="189"/>
      <c r="D122" s="189"/>
      <c r="O122" s="98"/>
    </row>
    <row r="123" spans="2:16" x14ac:dyDescent="0.25">
      <c r="B123" s="11" t="s">
        <v>518</v>
      </c>
      <c r="C123" s="252" t="s">
        <v>1654</v>
      </c>
      <c r="D123" s="252"/>
      <c r="O123" s="103" t="e">
        <f>SUM(1*#REF!)/40</f>
        <v>#REF!</v>
      </c>
    </row>
    <row r="124" spans="2:16" x14ac:dyDescent="0.25">
      <c r="B124" s="11"/>
      <c r="C124" s="13"/>
      <c r="D124" s="188"/>
      <c r="O124" s="98"/>
    </row>
    <row r="125" spans="2:16" x14ac:dyDescent="0.25">
      <c r="B125" s="1" t="s">
        <v>1046</v>
      </c>
      <c r="C125" s="253" t="s">
        <v>1127</v>
      </c>
      <c r="D125" s="253"/>
      <c r="O125" s="102" t="e">
        <f>SUM(2.5*#REF!)/40</f>
        <v>#REF!</v>
      </c>
    </row>
    <row r="126" spans="2:16" x14ac:dyDescent="0.25">
      <c r="B126" s="1"/>
      <c r="C126" s="189"/>
      <c r="D126" s="189"/>
      <c r="O126" s="98"/>
    </row>
    <row r="127" spans="2:16" x14ac:dyDescent="0.25">
      <c r="B127" s="11" t="s">
        <v>1396</v>
      </c>
      <c r="C127" s="252" t="s">
        <v>3757</v>
      </c>
      <c r="D127" s="252"/>
      <c r="O127" s="102" t="e">
        <f>SUM(1.25*#REF!)/40</f>
        <v>#REF!</v>
      </c>
    </row>
    <row r="128" spans="2:16" x14ac:dyDescent="0.25">
      <c r="B128" s="11"/>
      <c r="C128" s="188"/>
      <c r="D128" s="188"/>
      <c r="O128" s="98"/>
    </row>
    <row r="129" spans="2:16" x14ac:dyDescent="0.25">
      <c r="B129" s="1" t="s">
        <v>3758</v>
      </c>
      <c r="C129" s="253" t="s">
        <v>757</v>
      </c>
      <c r="D129" s="253"/>
      <c r="O129" s="98" t="e">
        <f>SUM(4*#REF!)/40</f>
        <v>#REF!</v>
      </c>
    </row>
    <row r="130" spans="2:16" x14ac:dyDescent="0.25">
      <c r="B130" s="1"/>
      <c r="C130" s="189"/>
      <c r="D130" s="189"/>
      <c r="O130" s="98"/>
    </row>
    <row r="131" spans="2:16" x14ac:dyDescent="0.25">
      <c r="B131" s="11" t="s">
        <v>3759</v>
      </c>
      <c r="C131" s="252" t="s">
        <v>3760</v>
      </c>
      <c r="D131" s="252"/>
      <c r="O131" s="99" t="e">
        <f>#REF!</f>
        <v>#REF!</v>
      </c>
    </row>
    <row r="132" spans="2:16" ht="15.75" thickBot="1" x14ac:dyDescent="0.3">
      <c r="B132" s="8"/>
      <c r="C132" s="311"/>
      <c r="D132" s="311"/>
      <c r="O132" s="98"/>
    </row>
    <row r="133" spans="2:16" x14ac:dyDescent="0.25">
      <c r="B133" s="217" t="s">
        <v>401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9"/>
      <c r="O133" s="100" t="e">
        <f>SUM(O103:O131)</f>
        <v>#REF!</v>
      </c>
    </row>
    <row r="134" spans="2:16" x14ac:dyDescent="0.25">
      <c r="B134" s="3" t="s">
        <v>402</v>
      </c>
      <c r="C134" s="232" t="s">
        <v>403</v>
      </c>
      <c r="D134" s="232"/>
      <c r="E134" s="232" t="s">
        <v>467</v>
      </c>
      <c r="F134" s="232"/>
      <c r="G134" s="232" t="s">
        <v>405</v>
      </c>
      <c r="H134" s="232"/>
      <c r="I134" s="232" t="s">
        <v>406</v>
      </c>
      <c r="J134" s="232"/>
      <c r="K134" s="234" t="s">
        <v>407</v>
      </c>
      <c r="L134" s="235"/>
      <c r="M134" s="236"/>
      <c r="O134" s="98"/>
    </row>
    <row r="135" spans="2:16" ht="15.75" thickBot="1" x14ac:dyDescent="0.3">
      <c r="B135" s="5">
        <v>1.9</v>
      </c>
      <c r="C135" s="237">
        <v>2.5</v>
      </c>
      <c r="D135" s="238"/>
      <c r="E135" s="239"/>
      <c r="F135" s="238"/>
      <c r="G135" s="240"/>
      <c r="H135" s="240"/>
      <c r="I135" s="240">
        <v>0.23</v>
      </c>
      <c r="J135" s="240"/>
      <c r="K135" s="242">
        <v>0.13300000000000001</v>
      </c>
      <c r="L135" s="243"/>
      <c r="M135" s="244"/>
      <c r="O135" s="98"/>
    </row>
    <row r="136" spans="2:16" x14ac:dyDescent="0.25">
      <c r="B136" s="1"/>
      <c r="C136" s="1"/>
      <c r="D136" s="1"/>
      <c r="E136" s="1"/>
      <c r="F136" s="1"/>
      <c r="G136" s="1"/>
      <c r="H136" s="1"/>
      <c r="O136" s="98"/>
    </row>
    <row r="137" spans="2:16" x14ac:dyDescent="0.25">
      <c r="B137" s="217" t="s">
        <v>408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9"/>
    </row>
    <row r="138" spans="2:16" x14ac:dyDescent="0.25">
      <c r="B138" s="122" t="s">
        <v>3761</v>
      </c>
      <c r="C138" s="220" t="s">
        <v>3762</v>
      </c>
      <c r="D138" s="220"/>
      <c r="E138" s="221" t="s">
        <v>3763</v>
      </c>
      <c r="F138" s="221"/>
      <c r="G138" s="221" t="s">
        <v>3764</v>
      </c>
      <c r="H138" s="221"/>
      <c r="I138" s="220" t="s">
        <v>3765</v>
      </c>
      <c r="J138" s="220"/>
      <c r="K138" s="220" t="s">
        <v>3766</v>
      </c>
      <c r="L138" s="220"/>
      <c r="M138" s="222"/>
    </row>
    <row r="139" spans="2:16" x14ac:dyDescent="0.25">
      <c r="B139" s="123" t="s">
        <v>935</v>
      </c>
      <c r="C139" s="225" t="s">
        <v>2046</v>
      </c>
      <c r="D139" s="226"/>
      <c r="E139" s="223" t="s">
        <v>3767</v>
      </c>
      <c r="F139" s="223"/>
      <c r="G139" s="223" t="s">
        <v>1064</v>
      </c>
      <c r="H139" s="223"/>
      <c r="I139" s="227" t="s">
        <v>3768</v>
      </c>
      <c r="J139" s="227"/>
      <c r="K139" s="223" t="s">
        <v>3769</v>
      </c>
      <c r="L139" s="223"/>
      <c r="M139" s="224"/>
    </row>
    <row r="140" spans="2:16" ht="15.75" customHeight="1" x14ac:dyDescent="0.25">
      <c r="B140" s="123" t="s">
        <v>2199</v>
      </c>
      <c r="C140" s="225" t="s">
        <v>830</v>
      </c>
      <c r="D140" s="226"/>
      <c r="E140" s="227" t="s">
        <v>3770</v>
      </c>
      <c r="F140" s="227"/>
      <c r="G140" s="223" t="s">
        <v>3615</v>
      </c>
      <c r="H140" s="223"/>
      <c r="I140" s="223" t="s">
        <v>3771</v>
      </c>
      <c r="J140" s="223"/>
      <c r="K140" s="223" t="s">
        <v>2055</v>
      </c>
      <c r="L140" s="223"/>
      <c r="M140" s="224"/>
    </row>
    <row r="142" spans="2:16" ht="23.25" x14ac:dyDescent="0.35">
      <c r="B142" s="29" t="s">
        <v>334</v>
      </c>
      <c r="C142" s="229" t="s">
        <v>112</v>
      </c>
      <c r="D142" s="229"/>
      <c r="E142" s="229"/>
      <c r="F142" s="229"/>
      <c r="G142" s="229"/>
      <c r="H142" s="229"/>
      <c r="I142" s="229"/>
      <c r="J142" s="229"/>
      <c r="K142" s="229"/>
      <c r="P142" s="101" t="s">
        <v>481</v>
      </c>
    </row>
    <row r="143" spans="2:16" ht="18.75" x14ac:dyDescent="0.3">
      <c r="B143" s="12" t="s">
        <v>335</v>
      </c>
      <c r="C143" s="1" t="s">
        <v>2</v>
      </c>
      <c r="D143" s="228" t="s">
        <v>427</v>
      </c>
      <c r="E143" s="228"/>
      <c r="F143" s="1" t="s">
        <v>3772</v>
      </c>
      <c r="L143" s="12" t="s">
        <v>339</v>
      </c>
      <c r="M143" s="6" t="s">
        <v>111</v>
      </c>
    </row>
    <row r="145" spans="2:17" x14ac:dyDescent="0.25">
      <c r="B145" s="2" t="s">
        <v>341</v>
      </c>
      <c r="C145" s="250" t="s">
        <v>3773</v>
      </c>
      <c r="D145" s="250"/>
      <c r="E145" s="250" t="s">
        <v>3774</v>
      </c>
      <c r="F145" s="250"/>
      <c r="G145" s="328" t="s">
        <v>805</v>
      </c>
      <c r="H145" s="328"/>
      <c r="I145" s="228" t="s">
        <v>345</v>
      </c>
      <c r="J145" s="228"/>
      <c r="K145" s="228"/>
      <c r="L145" s="228"/>
      <c r="M145" s="228"/>
      <c r="N145" s="10"/>
      <c r="O145" s="10"/>
      <c r="Q145" s="101" t="s">
        <v>732</v>
      </c>
    </row>
    <row r="147" spans="2:17" x14ac:dyDescent="0.25">
      <c r="B147" s="13" t="s">
        <v>1946</v>
      </c>
      <c r="C147" s="252" t="s">
        <v>355</v>
      </c>
      <c r="D147" s="252"/>
      <c r="E147" s="252" t="s">
        <v>1020</v>
      </c>
      <c r="F147" s="252"/>
      <c r="G147" s="329" t="s">
        <v>1948</v>
      </c>
      <c r="H147" s="329"/>
      <c r="I147" s="14" t="s">
        <v>3775</v>
      </c>
      <c r="J147" s="14"/>
      <c r="Q147" s="98" t="e">
        <f>SUM(3.25*#REF!)/24</f>
        <v>#REF!</v>
      </c>
    </row>
    <row r="148" spans="2:17" x14ac:dyDescent="0.25">
      <c r="B148" s="13"/>
      <c r="C148" s="188"/>
      <c r="D148" s="188"/>
      <c r="E148" s="188"/>
      <c r="F148" s="188"/>
      <c r="G148" s="118"/>
      <c r="H148" s="118"/>
      <c r="I148" s="14" t="s">
        <v>3776</v>
      </c>
      <c r="J148" s="14"/>
      <c r="Q148" s="98"/>
    </row>
    <row r="149" spans="2:17" x14ac:dyDescent="0.25">
      <c r="B149" s="14" t="s">
        <v>3777</v>
      </c>
      <c r="C149" s="290" t="s">
        <v>3778</v>
      </c>
      <c r="D149" s="290"/>
      <c r="E149" s="290" t="s">
        <v>355</v>
      </c>
      <c r="F149" s="290"/>
      <c r="G149" s="251" t="s">
        <v>1235</v>
      </c>
      <c r="H149" s="251"/>
      <c r="I149" s="14" t="s">
        <v>3779</v>
      </c>
      <c r="J149" s="14"/>
      <c r="Q149" s="98" t="e">
        <f>SUM(26*#REF!)/24</f>
        <v>#REF!</v>
      </c>
    </row>
    <row r="150" spans="2:17" x14ac:dyDescent="0.25">
      <c r="B150" s="14"/>
      <c r="C150" s="189"/>
      <c r="D150" s="189"/>
      <c r="E150" s="189"/>
      <c r="F150" s="189"/>
      <c r="I150" s="14" t="s">
        <v>3780</v>
      </c>
      <c r="J150" s="14"/>
      <c r="Q150" s="98"/>
    </row>
    <row r="151" spans="2:17" x14ac:dyDescent="0.25">
      <c r="B151" s="13" t="s">
        <v>518</v>
      </c>
      <c r="C151" s="252" t="s">
        <v>516</v>
      </c>
      <c r="D151" s="252"/>
      <c r="E151" s="323" t="s">
        <v>513</v>
      </c>
      <c r="F151" s="323"/>
      <c r="G151" s="329" t="s">
        <v>880</v>
      </c>
      <c r="H151" s="329"/>
      <c r="I151" s="14" t="s">
        <v>3781</v>
      </c>
      <c r="J151" s="14"/>
      <c r="Q151" s="103" t="e">
        <f>SUM(1*#REF!)/24</f>
        <v>#REF!</v>
      </c>
    </row>
    <row r="152" spans="2:17" x14ac:dyDescent="0.25">
      <c r="B152" s="13"/>
      <c r="C152" s="188"/>
      <c r="D152" s="188"/>
      <c r="E152" s="188"/>
      <c r="F152" s="188"/>
      <c r="G152" s="118"/>
      <c r="H152" s="118"/>
      <c r="I152" s="14" t="s">
        <v>3782</v>
      </c>
      <c r="J152" s="14"/>
      <c r="Q152" s="98"/>
    </row>
    <row r="153" spans="2:17" x14ac:dyDescent="0.25">
      <c r="B153" s="14" t="s">
        <v>1840</v>
      </c>
      <c r="C153" s="290" t="s">
        <v>3783</v>
      </c>
      <c r="D153" s="290"/>
      <c r="E153" s="290" t="s">
        <v>3784</v>
      </c>
      <c r="F153" s="290"/>
      <c r="G153" s="251" t="s">
        <v>742</v>
      </c>
      <c r="H153" s="251"/>
      <c r="I153" t="s">
        <v>3785</v>
      </c>
      <c r="J153" s="14"/>
      <c r="Q153" s="102" t="e">
        <f>SUM(4.3*#REF!)/24</f>
        <v>#REF!</v>
      </c>
    </row>
    <row r="154" spans="2:17" x14ac:dyDescent="0.25">
      <c r="B154" s="14"/>
      <c r="C154" s="189"/>
      <c r="D154" s="189"/>
      <c r="E154" s="189"/>
      <c r="F154" s="189"/>
      <c r="I154" s="14" t="s">
        <v>3786</v>
      </c>
      <c r="J154" s="14"/>
      <c r="Q154" s="98"/>
    </row>
    <row r="155" spans="2:17" x14ac:dyDescent="0.25">
      <c r="B155" s="13" t="s">
        <v>677</v>
      </c>
      <c r="C155" s="252" t="s">
        <v>391</v>
      </c>
      <c r="D155" s="252"/>
      <c r="E155" s="252" t="s">
        <v>3787</v>
      </c>
      <c r="F155" s="252"/>
      <c r="G155" s="329" t="s">
        <v>1194</v>
      </c>
      <c r="H155" s="329"/>
      <c r="I155" s="14" t="s">
        <v>3788</v>
      </c>
      <c r="J155" s="14"/>
      <c r="Q155" s="98" t="e">
        <f>SUM(0.75*#REF!)/24</f>
        <v>#REF!</v>
      </c>
    </row>
    <row r="156" spans="2:17" x14ac:dyDescent="0.25">
      <c r="B156" s="13"/>
      <c r="C156" s="188"/>
      <c r="D156" s="188"/>
      <c r="E156" s="188"/>
      <c r="F156" s="188"/>
      <c r="G156" s="118"/>
      <c r="H156" s="118"/>
      <c r="I156" s="14"/>
      <c r="J156" s="14"/>
      <c r="Q156" s="98"/>
    </row>
    <row r="157" spans="2:17" x14ac:dyDescent="0.25">
      <c r="B157" s="14" t="s">
        <v>3728</v>
      </c>
      <c r="C157" s="290" t="s">
        <v>486</v>
      </c>
      <c r="D157" s="290"/>
      <c r="E157" s="290" t="s">
        <v>744</v>
      </c>
      <c r="F157" s="290"/>
      <c r="G157" s="251" t="s">
        <v>487</v>
      </c>
      <c r="H157" s="251"/>
      <c r="I157" s="14"/>
      <c r="J157" s="14"/>
      <c r="Q157" s="102" t="e">
        <f>SUM(1*#REF!)/24</f>
        <v>#REF!</v>
      </c>
    </row>
    <row r="158" spans="2:17" x14ac:dyDescent="0.25">
      <c r="B158" s="14"/>
      <c r="C158" s="189"/>
      <c r="D158" s="189"/>
      <c r="E158" s="189"/>
      <c r="F158" s="189"/>
      <c r="I158" s="14"/>
      <c r="J158" s="14"/>
      <c r="Q158" s="98"/>
    </row>
    <row r="159" spans="2:17" x14ac:dyDescent="0.25">
      <c r="B159" s="13" t="s">
        <v>3789</v>
      </c>
      <c r="C159" s="252" t="s">
        <v>390</v>
      </c>
      <c r="D159" s="252"/>
      <c r="E159" s="252" t="s">
        <v>392</v>
      </c>
      <c r="F159" s="252"/>
      <c r="G159" s="329" t="s">
        <v>789</v>
      </c>
      <c r="H159" s="329"/>
      <c r="I159" s="14"/>
      <c r="J159" s="14"/>
      <c r="Q159" s="98" t="e">
        <f>SUM(0.5*#REF!)/24</f>
        <v>#REF!</v>
      </c>
    </row>
    <row r="160" spans="2:17" x14ac:dyDescent="0.25">
      <c r="B160" s="13"/>
      <c r="C160" s="188"/>
      <c r="D160" s="188"/>
      <c r="E160" s="188"/>
      <c r="F160" s="188"/>
      <c r="G160" s="118"/>
      <c r="H160" s="118"/>
      <c r="I160" s="14"/>
      <c r="J160" s="14"/>
      <c r="Q160" s="98"/>
    </row>
    <row r="161" spans="2:17" x14ac:dyDescent="0.25">
      <c r="B161" s="14" t="s">
        <v>859</v>
      </c>
      <c r="C161" s="290" t="s">
        <v>391</v>
      </c>
      <c r="D161" s="290"/>
      <c r="E161" s="290" t="s">
        <v>3787</v>
      </c>
      <c r="F161" s="290"/>
      <c r="G161" s="251" t="s">
        <v>1194</v>
      </c>
      <c r="H161" s="251"/>
      <c r="I161" s="14"/>
      <c r="J161" s="14"/>
      <c r="Q161" s="102" t="e">
        <f>SUM(0.75*#REF!)/24</f>
        <v>#REF!</v>
      </c>
    </row>
    <row r="162" spans="2:17" x14ac:dyDescent="0.25">
      <c r="B162" s="14"/>
      <c r="C162" s="189"/>
      <c r="D162" s="189"/>
      <c r="E162" s="189"/>
      <c r="F162" s="189"/>
      <c r="I162" s="14"/>
      <c r="J162" s="14"/>
      <c r="Q162" s="98"/>
    </row>
    <row r="163" spans="2:17" x14ac:dyDescent="0.25">
      <c r="B163" s="13" t="s">
        <v>3790</v>
      </c>
      <c r="C163" s="252" t="s">
        <v>3791</v>
      </c>
      <c r="D163" s="252"/>
      <c r="E163" s="252" t="s">
        <v>3792</v>
      </c>
      <c r="F163" s="252"/>
      <c r="G163" s="329" t="s">
        <v>3793</v>
      </c>
      <c r="H163" s="329"/>
      <c r="I163" s="14"/>
      <c r="J163" s="14"/>
      <c r="Q163" s="98" t="e">
        <f>SUM(11*#REF!)/24</f>
        <v>#REF!</v>
      </c>
    </row>
    <row r="164" spans="2:17" x14ac:dyDescent="0.25">
      <c r="B164" s="13"/>
      <c r="C164" s="13"/>
      <c r="D164" s="13"/>
      <c r="E164" s="13"/>
      <c r="F164" s="13"/>
      <c r="G164" s="118"/>
      <c r="H164" s="118"/>
      <c r="I164" s="14"/>
      <c r="J164" s="14"/>
      <c r="Q164" s="98"/>
    </row>
    <row r="165" spans="2:17" x14ac:dyDescent="0.25">
      <c r="B165" s="14" t="s">
        <v>3794</v>
      </c>
      <c r="C165" s="253" t="s">
        <v>1284</v>
      </c>
      <c r="D165" s="253"/>
      <c r="E165" s="253" t="s">
        <v>1021</v>
      </c>
      <c r="F165" s="253"/>
      <c r="G165" s="251" t="s">
        <v>2320</v>
      </c>
      <c r="H165" s="251"/>
      <c r="I165" s="14"/>
      <c r="J165" s="14"/>
      <c r="Q165" s="99" t="e">
        <f>SUM(4.3*#REF!)/24</f>
        <v>#REF!</v>
      </c>
    </row>
    <row r="166" spans="2:17" x14ac:dyDescent="0.25">
      <c r="B166" s="14"/>
      <c r="C166" s="189"/>
      <c r="D166" s="189"/>
      <c r="E166" s="189"/>
      <c r="F166" s="189"/>
      <c r="I166" s="14"/>
      <c r="J166" s="14"/>
      <c r="Q166" s="98"/>
    </row>
    <row r="167" spans="2:17" x14ac:dyDescent="0.25">
      <c r="B167" s="14"/>
      <c r="C167" s="189"/>
      <c r="D167" s="189"/>
      <c r="E167" s="189"/>
      <c r="F167" s="189"/>
      <c r="I167" s="14"/>
      <c r="J167" s="14"/>
      <c r="Q167" s="100" t="e">
        <f>SUM(Q147:Q165)</f>
        <v>#REF!</v>
      </c>
    </row>
    <row r="168" spans="2:17" x14ac:dyDescent="0.25">
      <c r="B168" s="14"/>
      <c r="C168" s="14"/>
      <c r="D168" s="14"/>
      <c r="E168" s="14"/>
      <c r="F168" s="14"/>
      <c r="I168" s="92"/>
      <c r="J168" s="14"/>
      <c r="Q168" s="98"/>
    </row>
    <row r="169" spans="2:17" x14ac:dyDescent="0.25">
      <c r="B169" s="217" t="s">
        <v>401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9"/>
      <c r="O169" s="98"/>
    </row>
    <row r="170" spans="2:17" x14ac:dyDescent="0.25">
      <c r="B170" s="3" t="s">
        <v>402</v>
      </c>
      <c r="C170" s="232" t="s">
        <v>403</v>
      </c>
      <c r="D170" s="232"/>
      <c r="E170" s="232" t="s">
        <v>467</v>
      </c>
      <c r="F170" s="232"/>
      <c r="G170" s="232" t="s">
        <v>405</v>
      </c>
      <c r="H170" s="232"/>
      <c r="I170" s="232" t="s">
        <v>406</v>
      </c>
      <c r="J170" s="232"/>
      <c r="K170" s="234" t="s">
        <v>468</v>
      </c>
      <c r="L170" s="235"/>
      <c r="M170" s="236"/>
    </row>
    <row r="171" spans="2:17" ht="15.75" thickBot="1" x14ac:dyDescent="0.3">
      <c r="B171" s="5">
        <v>0.01</v>
      </c>
      <c r="C171" s="237">
        <v>1</v>
      </c>
      <c r="D171" s="238"/>
      <c r="E171" s="239"/>
      <c r="F171" s="238"/>
      <c r="G171" s="240">
        <v>1.264</v>
      </c>
      <c r="H171" s="240"/>
      <c r="I171" s="241"/>
      <c r="J171" s="241"/>
      <c r="K171" s="242"/>
      <c r="L171" s="243"/>
      <c r="M171" s="244"/>
    </row>
    <row r="172" spans="2:17" x14ac:dyDescent="0.25">
      <c r="B172" s="1"/>
      <c r="C172" s="1"/>
      <c r="D172" s="1"/>
      <c r="E172" s="1"/>
      <c r="F172" s="1"/>
      <c r="G172" s="1"/>
      <c r="H172" s="1"/>
    </row>
    <row r="173" spans="2:17" x14ac:dyDescent="0.25">
      <c r="B173" s="217" t="s">
        <v>408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9"/>
    </row>
    <row r="174" spans="2:17" x14ac:dyDescent="0.25">
      <c r="B174" s="122" t="s">
        <v>3795</v>
      </c>
      <c r="C174" s="220" t="s">
        <v>3796</v>
      </c>
      <c r="D174" s="220"/>
      <c r="E174" s="221" t="s">
        <v>3797</v>
      </c>
      <c r="F174" s="221"/>
      <c r="G174" s="221" t="s">
        <v>3798</v>
      </c>
      <c r="H174" s="221"/>
      <c r="I174" s="220" t="s">
        <v>3799</v>
      </c>
      <c r="J174" s="220"/>
      <c r="K174" s="220" t="s">
        <v>564</v>
      </c>
      <c r="L174" s="220"/>
      <c r="M174" s="222"/>
    </row>
    <row r="175" spans="2:17" x14ac:dyDescent="0.25">
      <c r="B175" s="123" t="s">
        <v>3800</v>
      </c>
      <c r="C175" s="225" t="s">
        <v>3801</v>
      </c>
      <c r="D175" s="226"/>
      <c r="E175" s="223" t="s">
        <v>3802</v>
      </c>
      <c r="F175" s="223"/>
      <c r="G175" s="223" t="s">
        <v>3803</v>
      </c>
      <c r="H175" s="223"/>
      <c r="I175" s="227" t="s">
        <v>3804</v>
      </c>
      <c r="J175" s="227"/>
      <c r="K175" s="223" t="s">
        <v>3805</v>
      </c>
      <c r="L175" s="223"/>
      <c r="M175" s="224"/>
    </row>
    <row r="176" spans="2:17" x14ac:dyDescent="0.25">
      <c r="B176" s="123" t="s">
        <v>3806</v>
      </c>
      <c r="C176" s="225" t="s">
        <v>422</v>
      </c>
      <c r="D176" s="226"/>
      <c r="E176" s="227" t="s">
        <v>3807</v>
      </c>
      <c r="F176" s="227"/>
      <c r="G176" s="223" t="s">
        <v>3808</v>
      </c>
      <c r="H176" s="223"/>
      <c r="I176" s="223" t="s">
        <v>3809</v>
      </c>
      <c r="J176" s="223"/>
      <c r="K176" s="223"/>
      <c r="L176" s="223"/>
      <c r="M176" s="224"/>
    </row>
    <row r="178" spans="2:15" ht="23.25" x14ac:dyDescent="0.35">
      <c r="B178" s="29" t="s">
        <v>334</v>
      </c>
      <c r="C178" s="229" t="s">
        <v>77</v>
      </c>
      <c r="D178" s="229"/>
      <c r="E178" s="229"/>
      <c r="F178" s="229"/>
      <c r="G178" s="229"/>
      <c r="H178" s="229"/>
      <c r="I178" s="229"/>
      <c r="J178" s="229"/>
      <c r="K178" s="229"/>
    </row>
    <row r="179" spans="2:15" ht="18.75" x14ac:dyDescent="0.3">
      <c r="B179" s="12" t="s">
        <v>335</v>
      </c>
      <c r="C179" s="1" t="s">
        <v>2</v>
      </c>
      <c r="D179" s="228" t="s">
        <v>427</v>
      </c>
      <c r="E179" s="228"/>
      <c r="F179" s="1" t="s">
        <v>3810</v>
      </c>
      <c r="L179" s="12" t="s">
        <v>339</v>
      </c>
      <c r="M179" s="6" t="s">
        <v>76</v>
      </c>
    </row>
    <row r="181" spans="2:15" x14ac:dyDescent="0.25">
      <c r="B181" s="2" t="s">
        <v>341</v>
      </c>
      <c r="C181" s="322" t="s">
        <v>430</v>
      </c>
      <c r="D181" s="322"/>
      <c r="E181" s="322" t="s">
        <v>805</v>
      </c>
      <c r="F181" s="322"/>
      <c r="G181" s="322" t="s">
        <v>1260</v>
      </c>
      <c r="H181" s="322"/>
      <c r="I181" s="228" t="s">
        <v>345</v>
      </c>
      <c r="J181" s="228"/>
      <c r="K181" s="228"/>
      <c r="L181" s="228"/>
      <c r="M181" s="228"/>
      <c r="N181" s="10"/>
      <c r="O181" s="101" t="s">
        <v>732</v>
      </c>
    </row>
    <row r="182" spans="2:15" x14ac:dyDescent="0.25">
      <c r="C182" s="14"/>
      <c r="D182" s="14"/>
      <c r="E182" s="14"/>
      <c r="F182" s="14"/>
      <c r="G182" s="14"/>
      <c r="H182" s="14"/>
    </row>
    <row r="183" spans="2:15" x14ac:dyDescent="0.25">
      <c r="B183" s="13" t="s">
        <v>652</v>
      </c>
      <c r="C183" s="252" t="s">
        <v>1443</v>
      </c>
      <c r="D183" s="252"/>
      <c r="E183" s="252" t="s">
        <v>1445</v>
      </c>
      <c r="F183" s="252"/>
      <c r="G183" s="252" t="s">
        <v>1577</v>
      </c>
      <c r="H183" s="252"/>
      <c r="I183" s="14" t="s">
        <v>3811</v>
      </c>
      <c r="J183" s="14"/>
      <c r="O183" s="98">
        <v>5.5999999999999999E-3</v>
      </c>
    </row>
    <row r="184" spans="2:15" x14ac:dyDescent="0.25">
      <c r="B184" s="13"/>
      <c r="C184" s="188"/>
      <c r="D184" s="188"/>
      <c r="E184" s="188"/>
      <c r="F184" s="188"/>
      <c r="G184" s="188"/>
      <c r="H184" s="188"/>
      <c r="I184" s="14" t="s">
        <v>3812</v>
      </c>
      <c r="J184" s="16"/>
      <c r="O184" s="98"/>
    </row>
    <row r="185" spans="2:15" x14ac:dyDescent="0.25">
      <c r="B185" s="14" t="s">
        <v>1840</v>
      </c>
      <c r="C185" s="253" t="s">
        <v>508</v>
      </c>
      <c r="D185" s="253"/>
      <c r="E185" s="253" t="s">
        <v>390</v>
      </c>
      <c r="F185" s="253"/>
      <c r="G185" s="253" t="s">
        <v>392</v>
      </c>
      <c r="H185" s="253"/>
      <c r="I185" s="14" t="s">
        <v>3813</v>
      </c>
      <c r="J185" s="14"/>
      <c r="O185" s="98">
        <v>7.0000000000000007E-2</v>
      </c>
    </row>
    <row r="186" spans="2:15" x14ac:dyDescent="0.25">
      <c r="B186" s="14"/>
      <c r="C186" s="253"/>
      <c r="D186" s="253"/>
      <c r="E186" s="253"/>
      <c r="F186" s="253"/>
      <c r="G186" s="253"/>
      <c r="H186" s="253"/>
      <c r="I186" s="14" t="s">
        <v>3814</v>
      </c>
      <c r="J186" s="14"/>
      <c r="O186" s="98"/>
    </row>
    <row r="187" spans="2:15" x14ac:dyDescent="0.25">
      <c r="B187" s="13" t="s">
        <v>518</v>
      </c>
      <c r="C187" s="252" t="s">
        <v>657</v>
      </c>
      <c r="D187" s="252"/>
      <c r="E187" s="252" t="s">
        <v>486</v>
      </c>
      <c r="F187" s="252"/>
      <c r="G187" s="252" t="s">
        <v>744</v>
      </c>
      <c r="H187" s="252"/>
      <c r="I187" s="14" t="s">
        <v>3815</v>
      </c>
      <c r="J187" s="14"/>
      <c r="O187" s="103">
        <v>9.7499999999999998E-5</v>
      </c>
    </row>
    <row r="188" spans="2:15" x14ac:dyDescent="0.25">
      <c r="B188" s="13"/>
      <c r="C188" s="188"/>
      <c r="D188" s="188"/>
      <c r="E188" s="188"/>
      <c r="F188" s="188"/>
      <c r="G188" s="188"/>
      <c r="H188" s="188"/>
      <c r="I188" s="14" t="s">
        <v>3816</v>
      </c>
      <c r="J188" s="14"/>
      <c r="O188" s="98"/>
    </row>
    <row r="189" spans="2:15" x14ac:dyDescent="0.25">
      <c r="B189" s="14" t="s">
        <v>3817</v>
      </c>
      <c r="C189" s="253" t="s">
        <v>392</v>
      </c>
      <c r="D189" s="253"/>
      <c r="E189" s="253" t="s">
        <v>789</v>
      </c>
      <c r="F189" s="253"/>
      <c r="G189" s="253" t="s">
        <v>1497</v>
      </c>
      <c r="H189" s="253"/>
      <c r="I189" s="14" t="s">
        <v>3818</v>
      </c>
      <c r="J189" s="14"/>
      <c r="O189" s="98">
        <v>0.03</v>
      </c>
    </row>
    <row r="190" spans="2:15" x14ac:dyDescent="0.25">
      <c r="B190" s="14"/>
      <c r="C190" s="189"/>
      <c r="D190" s="189"/>
      <c r="E190" s="189"/>
      <c r="F190" s="189"/>
      <c r="G190" s="189"/>
      <c r="H190" s="189"/>
      <c r="I190" s="14" t="s">
        <v>3819</v>
      </c>
      <c r="J190" s="14"/>
      <c r="O190" s="98"/>
    </row>
    <row r="191" spans="2:15" x14ac:dyDescent="0.25">
      <c r="B191" s="13" t="s">
        <v>660</v>
      </c>
      <c r="C191" s="252" t="s">
        <v>678</v>
      </c>
      <c r="D191" s="252"/>
      <c r="E191" s="252" t="s">
        <v>3820</v>
      </c>
      <c r="F191" s="252"/>
      <c r="G191" s="252" t="s">
        <v>373</v>
      </c>
      <c r="H191" s="252"/>
      <c r="I191" s="14" t="s">
        <v>3821</v>
      </c>
      <c r="J191" s="14"/>
      <c r="O191" s="102">
        <v>2E-3</v>
      </c>
    </row>
    <row r="192" spans="2:15" x14ac:dyDescent="0.25">
      <c r="B192" s="13"/>
      <c r="C192" s="188"/>
      <c r="D192" s="188"/>
      <c r="E192" s="188"/>
      <c r="F192" s="188"/>
      <c r="G192" s="188"/>
      <c r="H192" s="188"/>
      <c r="I192" s="14" t="s">
        <v>3822</v>
      </c>
      <c r="J192" s="14"/>
      <c r="O192" s="98"/>
    </row>
    <row r="193" spans="2:15" x14ac:dyDescent="0.25">
      <c r="B193" s="14" t="s">
        <v>2166</v>
      </c>
      <c r="C193" s="253" t="s">
        <v>2587</v>
      </c>
      <c r="D193" s="253"/>
      <c r="E193" s="253" t="s">
        <v>1708</v>
      </c>
      <c r="F193" s="253"/>
      <c r="G193" s="253" t="s">
        <v>3823</v>
      </c>
      <c r="H193" s="253"/>
      <c r="I193" s="14" t="s">
        <v>3824</v>
      </c>
      <c r="J193" s="14"/>
      <c r="O193" s="98">
        <v>0.02</v>
      </c>
    </row>
    <row r="194" spans="2:15" x14ac:dyDescent="0.25">
      <c r="B194" s="14" t="s">
        <v>2170</v>
      </c>
      <c r="C194" s="253" t="s">
        <v>504</v>
      </c>
      <c r="D194" s="253"/>
      <c r="E194" s="253" t="s">
        <v>2876</v>
      </c>
      <c r="F194" s="253"/>
      <c r="G194" s="253" t="s">
        <v>3825</v>
      </c>
      <c r="H194" s="253"/>
      <c r="I194" s="14" t="s">
        <v>3826</v>
      </c>
      <c r="J194" s="14"/>
      <c r="O194" s="98"/>
    </row>
    <row r="195" spans="2:15" x14ac:dyDescent="0.25">
      <c r="B195" s="13" t="s">
        <v>397</v>
      </c>
      <c r="C195" s="252" t="s">
        <v>3827</v>
      </c>
      <c r="D195" s="252"/>
      <c r="E195" s="252" t="s">
        <v>3828</v>
      </c>
      <c r="F195" s="252"/>
      <c r="G195" s="252" t="s">
        <v>3829</v>
      </c>
      <c r="H195" s="252"/>
      <c r="I195" s="14" t="s">
        <v>3830</v>
      </c>
      <c r="J195" s="14"/>
      <c r="O195" s="98">
        <v>0</v>
      </c>
    </row>
    <row r="196" spans="2:15" x14ac:dyDescent="0.25">
      <c r="B196" s="13"/>
      <c r="C196" s="188"/>
      <c r="D196" s="188"/>
      <c r="E196" s="188"/>
      <c r="F196" s="188"/>
      <c r="G196" s="188"/>
      <c r="H196" s="188"/>
      <c r="I196" s="14" t="s">
        <v>3831</v>
      </c>
      <c r="J196" s="14"/>
      <c r="O196" s="98"/>
    </row>
    <row r="197" spans="2:15" x14ac:dyDescent="0.25">
      <c r="B197" s="14" t="s">
        <v>677</v>
      </c>
      <c r="C197" s="253" t="s">
        <v>392</v>
      </c>
      <c r="D197" s="253"/>
      <c r="E197" s="253" t="s">
        <v>789</v>
      </c>
      <c r="F197" s="253"/>
      <c r="G197" s="253" t="s">
        <v>1497</v>
      </c>
      <c r="H197" s="253"/>
      <c r="I197" s="14" t="s">
        <v>3832</v>
      </c>
      <c r="J197" s="14"/>
      <c r="O197" s="98">
        <v>0.01</v>
      </c>
    </row>
    <row r="198" spans="2:15" x14ac:dyDescent="0.25">
      <c r="B198" s="14"/>
      <c r="C198" s="189"/>
      <c r="D198" s="189"/>
      <c r="E198" s="189"/>
      <c r="F198" s="189"/>
      <c r="G198" s="14"/>
      <c r="H198" s="14"/>
      <c r="I198" s="14"/>
      <c r="J198" s="14"/>
      <c r="O198" s="98"/>
    </row>
    <row r="199" spans="2:15" x14ac:dyDescent="0.25">
      <c r="B199" s="13" t="s">
        <v>1946</v>
      </c>
      <c r="C199" s="252" t="s">
        <v>1443</v>
      </c>
      <c r="D199" s="252"/>
      <c r="E199" s="252" t="s">
        <v>1445</v>
      </c>
      <c r="F199" s="252"/>
      <c r="G199" s="252" t="s">
        <v>1577</v>
      </c>
      <c r="H199" s="252"/>
      <c r="I199" s="14"/>
      <c r="J199" s="14"/>
      <c r="O199" s="98">
        <v>8.3000000000000001E-3</v>
      </c>
    </row>
    <row r="200" spans="2:15" x14ac:dyDescent="0.25">
      <c r="B200" s="13"/>
      <c r="C200" s="188"/>
      <c r="D200" s="188"/>
      <c r="E200" s="188"/>
      <c r="F200" s="188"/>
      <c r="G200" s="188"/>
      <c r="H200" s="188"/>
      <c r="O200" s="98"/>
    </row>
    <row r="201" spans="2:15" x14ac:dyDescent="0.25">
      <c r="B201" s="31" t="s">
        <v>3833</v>
      </c>
      <c r="C201" s="255" t="s">
        <v>516</v>
      </c>
      <c r="D201" s="255"/>
      <c r="E201" s="255" t="s">
        <v>513</v>
      </c>
      <c r="F201" s="255"/>
      <c r="G201" s="255" t="s">
        <v>517</v>
      </c>
      <c r="H201" s="255"/>
      <c r="O201" s="102">
        <v>1E-3</v>
      </c>
    </row>
    <row r="202" spans="2:15" x14ac:dyDescent="0.25">
      <c r="B202" s="31"/>
      <c r="C202" s="191"/>
      <c r="D202" s="191"/>
      <c r="E202" s="191"/>
      <c r="F202" s="191"/>
      <c r="G202" s="191"/>
      <c r="H202" s="191"/>
      <c r="O202" s="98"/>
    </row>
    <row r="203" spans="2:15" x14ac:dyDescent="0.25">
      <c r="B203" s="13" t="s">
        <v>3834</v>
      </c>
      <c r="C203" s="252" t="s">
        <v>3835</v>
      </c>
      <c r="D203" s="252"/>
      <c r="E203" s="252" t="s">
        <v>516</v>
      </c>
      <c r="F203" s="252"/>
      <c r="G203" s="252" t="s">
        <v>513</v>
      </c>
      <c r="H203" s="252"/>
      <c r="O203" s="102">
        <v>1.5E-3</v>
      </c>
    </row>
    <row r="204" spans="2:15" x14ac:dyDescent="0.25">
      <c r="B204" s="13"/>
      <c r="C204" s="188"/>
      <c r="D204" s="188"/>
      <c r="E204" s="188"/>
      <c r="F204" s="188"/>
      <c r="G204" s="188"/>
      <c r="H204" s="188"/>
      <c r="O204" s="98"/>
    </row>
    <row r="205" spans="2:15" x14ac:dyDescent="0.25">
      <c r="B205" s="31" t="s">
        <v>3836</v>
      </c>
      <c r="C205" s="255" t="s">
        <v>3835</v>
      </c>
      <c r="D205" s="255"/>
      <c r="E205" s="255" t="s">
        <v>516</v>
      </c>
      <c r="F205" s="255"/>
      <c r="G205" s="255" t="s">
        <v>513</v>
      </c>
      <c r="H205" s="255"/>
      <c r="O205" s="105">
        <v>1E-3</v>
      </c>
    </row>
    <row r="206" spans="2:15" ht="15.75" thickBot="1" x14ac:dyDescent="0.3">
      <c r="B206" s="31"/>
      <c r="C206" s="31"/>
      <c r="D206" s="31"/>
      <c r="E206" s="31"/>
      <c r="F206" s="31"/>
      <c r="G206" s="34"/>
      <c r="H206" s="31"/>
      <c r="O206" s="98"/>
    </row>
    <row r="207" spans="2:15" x14ac:dyDescent="0.25">
      <c r="B207" s="217" t="s">
        <v>401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9"/>
      <c r="O207" s="100">
        <f>SUM(O183:O205)</f>
        <v>0.14949750000000001</v>
      </c>
    </row>
    <row r="208" spans="2:15" x14ac:dyDescent="0.25">
      <c r="B208" s="3" t="s">
        <v>402</v>
      </c>
      <c r="C208" s="232" t="s">
        <v>403</v>
      </c>
      <c r="D208" s="232"/>
      <c r="E208" s="232" t="s">
        <v>467</v>
      </c>
      <c r="F208" s="232"/>
      <c r="G208" s="232" t="s">
        <v>405</v>
      </c>
      <c r="H208" s="232"/>
      <c r="I208" s="232" t="s">
        <v>406</v>
      </c>
      <c r="J208" s="232"/>
      <c r="K208" s="234" t="s">
        <v>468</v>
      </c>
      <c r="L208" s="235"/>
      <c r="M208" s="236"/>
      <c r="O208" s="98"/>
    </row>
    <row r="209" spans="2:15" ht="15.75" thickBot="1" x14ac:dyDescent="0.3">
      <c r="B209" s="5">
        <v>0.32</v>
      </c>
      <c r="C209" s="237">
        <v>1.1339999999999999</v>
      </c>
      <c r="D209" s="238"/>
      <c r="E209" s="239"/>
      <c r="F209" s="238"/>
      <c r="G209" s="240"/>
      <c r="H209" s="240"/>
      <c r="I209" s="241"/>
      <c r="J209" s="241"/>
      <c r="K209" s="242"/>
      <c r="L209" s="243"/>
      <c r="M209" s="244"/>
    </row>
    <row r="210" spans="2:15" ht="15.75" thickBot="1" x14ac:dyDescent="0.3">
      <c r="B210" s="1"/>
      <c r="C210" s="1"/>
      <c r="D210" s="1"/>
      <c r="E210" s="1"/>
      <c r="F210" s="1"/>
      <c r="G210" s="1"/>
      <c r="H210" s="1"/>
    </row>
    <row r="211" spans="2:15" x14ac:dyDescent="0.25">
      <c r="B211" s="217" t="s">
        <v>408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9"/>
    </row>
    <row r="212" spans="2:15" x14ac:dyDescent="0.25">
      <c r="B212" s="3" t="s">
        <v>3837</v>
      </c>
      <c r="C212" s="232" t="s">
        <v>3243</v>
      </c>
      <c r="D212" s="232"/>
      <c r="E212" s="268" t="s">
        <v>3838</v>
      </c>
      <c r="F212" s="268"/>
      <c r="G212" s="232" t="s">
        <v>3839</v>
      </c>
      <c r="H212" s="232"/>
      <c r="I212" s="232" t="s">
        <v>3840</v>
      </c>
      <c r="J212" s="232"/>
      <c r="K212" s="232" t="s">
        <v>3841</v>
      </c>
      <c r="L212" s="232"/>
      <c r="M212" s="269"/>
    </row>
    <row r="213" spans="2:15" ht="15.75" thickBot="1" x14ac:dyDescent="0.3">
      <c r="B213" s="5" t="s">
        <v>3842</v>
      </c>
      <c r="C213" s="237" t="s">
        <v>3843</v>
      </c>
      <c r="D213" s="238"/>
      <c r="E213" s="240" t="s">
        <v>3844</v>
      </c>
      <c r="F213" s="240"/>
      <c r="G213" s="240" t="s">
        <v>3845</v>
      </c>
      <c r="H213" s="240"/>
      <c r="I213" s="240" t="s">
        <v>3846</v>
      </c>
      <c r="J213" s="240"/>
      <c r="K213" s="240" t="s">
        <v>3847</v>
      </c>
      <c r="L213" s="240"/>
      <c r="M213" s="267"/>
    </row>
    <row r="215" spans="2:15" ht="23.25" x14ac:dyDescent="0.35">
      <c r="B215" s="29" t="s">
        <v>334</v>
      </c>
      <c r="C215" s="229" t="s">
        <v>57</v>
      </c>
      <c r="D215" s="229"/>
      <c r="E215" s="229"/>
      <c r="F215" s="229"/>
      <c r="G215" s="229"/>
      <c r="H215" s="229"/>
      <c r="I215" s="229"/>
      <c r="J215" s="229"/>
      <c r="K215" s="229"/>
    </row>
    <row r="216" spans="2:15" ht="18.75" x14ac:dyDescent="0.3">
      <c r="B216" s="12" t="s">
        <v>335</v>
      </c>
      <c r="C216" s="1" t="s">
        <v>2</v>
      </c>
      <c r="D216" s="228" t="s">
        <v>427</v>
      </c>
      <c r="E216" s="228"/>
      <c r="F216" s="1" t="s">
        <v>3848</v>
      </c>
      <c r="L216" s="12" t="s">
        <v>339</v>
      </c>
      <c r="M216" s="6" t="s">
        <v>56</v>
      </c>
    </row>
    <row r="218" spans="2:15" x14ac:dyDescent="0.25">
      <c r="B218" s="2" t="s">
        <v>341</v>
      </c>
      <c r="C218" s="322" t="s">
        <v>3741</v>
      </c>
      <c r="D218" s="322"/>
      <c r="E218" s="228" t="s">
        <v>345</v>
      </c>
      <c r="F218" s="228"/>
      <c r="G218" s="228"/>
      <c r="H218" s="228"/>
      <c r="I218" s="228"/>
      <c r="O218" s="101" t="s">
        <v>732</v>
      </c>
    </row>
    <row r="219" spans="2:15" x14ac:dyDescent="0.25">
      <c r="C219" s="14"/>
      <c r="D219" s="14"/>
    </row>
    <row r="220" spans="2:15" x14ac:dyDescent="0.25">
      <c r="B220" s="13" t="s">
        <v>3849</v>
      </c>
      <c r="C220" s="252" t="s">
        <v>3850</v>
      </c>
      <c r="D220" s="252"/>
      <c r="E220" s="14" t="s">
        <v>3851</v>
      </c>
      <c r="F220" s="14"/>
      <c r="O220" s="98">
        <v>0.14000000000000001</v>
      </c>
    </row>
    <row r="221" spans="2:15" x14ac:dyDescent="0.25">
      <c r="B221" s="13"/>
      <c r="C221" s="188"/>
      <c r="D221" s="188"/>
      <c r="E221" s="14" t="s">
        <v>3852</v>
      </c>
      <c r="F221" s="16"/>
      <c r="O221" s="98"/>
    </row>
    <row r="222" spans="2:15" x14ac:dyDescent="0.25">
      <c r="B222" s="14" t="s">
        <v>3853</v>
      </c>
      <c r="C222" s="253" t="s">
        <v>1019</v>
      </c>
      <c r="D222" s="253"/>
      <c r="E222" s="14" t="s">
        <v>3854</v>
      </c>
      <c r="F222" s="14"/>
      <c r="O222" s="98">
        <v>0.06</v>
      </c>
    </row>
    <row r="223" spans="2:15" x14ac:dyDescent="0.25">
      <c r="B223" s="14"/>
      <c r="C223" s="253"/>
      <c r="D223" s="253"/>
      <c r="E223" s="14" t="s">
        <v>3855</v>
      </c>
      <c r="F223" s="14"/>
      <c r="O223" s="98"/>
    </row>
    <row r="224" spans="2:15" x14ac:dyDescent="0.25">
      <c r="B224" s="13" t="s">
        <v>3856</v>
      </c>
      <c r="C224" s="252" t="s">
        <v>392</v>
      </c>
      <c r="D224" s="252"/>
      <c r="E224" s="14"/>
      <c r="F224" s="14"/>
      <c r="O224" s="98">
        <v>3.7999999999999999E-2</v>
      </c>
    </row>
    <row r="225" spans="2:15" x14ac:dyDescent="0.25">
      <c r="B225" s="13"/>
      <c r="C225" s="188"/>
      <c r="D225" s="188"/>
      <c r="E225" s="14"/>
      <c r="F225" s="14"/>
      <c r="O225" s="98"/>
    </row>
    <row r="226" spans="2:15" x14ac:dyDescent="0.25">
      <c r="B226" s="14" t="s">
        <v>3857</v>
      </c>
      <c r="C226" s="253" t="s">
        <v>392</v>
      </c>
      <c r="D226" s="253"/>
      <c r="E226" s="14"/>
      <c r="F226" s="14"/>
      <c r="O226" s="98">
        <v>8.0000000000000002E-3</v>
      </c>
    </row>
    <row r="227" spans="2:15" x14ac:dyDescent="0.25">
      <c r="B227" s="14"/>
      <c r="C227" s="189"/>
      <c r="D227" s="189"/>
      <c r="E227" s="14"/>
      <c r="F227" s="14"/>
      <c r="O227" s="98"/>
    </row>
    <row r="228" spans="2:15" x14ac:dyDescent="0.25">
      <c r="B228" s="13" t="s">
        <v>518</v>
      </c>
      <c r="C228" s="252" t="s">
        <v>516</v>
      </c>
      <c r="D228" s="252"/>
      <c r="E228" s="14"/>
      <c r="F228" s="14"/>
      <c r="O228" s="103">
        <v>8.0000000000000007E-5</v>
      </c>
    </row>
    <row r="229" spans="2:15" x14ac:dyDescent="0.25">
      <c r="B229" s="13"/>
      <c r="C229" s="188"/>
      <c r="D229" s="188"/>
      <c r="E229" s="14"/>
      <c r="F229" s="14"/>
      <c r="O229" s="98"/>
    </row>
    <row r="230" spans="2:15" x14ac:dyDescent="0.25">
      <c r="B230" s="14" t="s">
        <v>879</v>
      </c>
      <c r="C230" s="253" t="s">
        <v>516</v>
      </c>
      <c r="D230" s="253"/>
      <c r="E230" s="14"/>
      <c r="F230" s="14"/>
      <c r="O230" s="102">
        <v>2.9499999999999999E-3</v>
      </c>
    </row>
    <row r="231" spans="2:15" x14ac:dyDescent="0.25">
      <c r="B231" s="14"/>
      <c r="C231" s="253"/>
      <c r="D231" s="253"/>
      <c r="E231" s="14"/>
      <c r="F231" s="14"/>
      <c r="O231" s="98"/>
    </row>
    <row r="232" spans="2:15" x14ac:dyDescent="0.25">
      <c r="B232" s="13" t="s">
        <v>3858</v>
      </c>
      <c r="C232" s="252" t="s">
        <v>3760</v>
      </c>
      <c r="D232" s="252"/>
      <c r="E232" s="14"/>
      <c r="F232" s="14"/>
      <c r="O232" s="98">
        <v>0.27</v>
      </c>
    </row>
    <row r="233" spans="2:15" x14ac:dyDescent="0.25">
      <c r="B233" s="13"/>
      <c r="C233" s="188"/>
      <c r="D233" s="188"/>
      <c r="E233" s="14"/>
      <c r="F233" s="14"/>
      <c r="O233" s="98"/>
    </row>
    <row r="234" spans="2:15" x14ac:dyDescent="0.25">
      <c r="B234" s="14" t="s">
        <v>3859</v>
      </c>
      <c r="C234" s="253" t="s">
        <v>3760</v>
      </c>
      <c r="D234" s="253"/>
      <c r="E234" s="14"/>
      <c r="F234" s="14"/>
      <c r="O234" s="99">
        <v>0.16700000000000001</v>
      </c>
    </row>
    <row r="235" spans="2:15" ht="15.75" thickBot="1" x14ac:dyDescent="0.3">
      <c r="B235" s="14"/>
      <c r="C235" s="189"/>
      <c r="D235" s="189"/>
      <c r="E235" s="14"/>
      <c r="F235" s="14"/>
      <c r="O235" s="98"/>
    </row>
    <row r="236" spans="2:15" x14ac:dyDescent="0.25">
      <c r="B236" s="217" t="s">
        <v>401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9"/>
      <c r="O236" s="100">
        <f>SUM(O220:O234)</f>
        <v>0.68603000000000014</v>
      </c>
    </row>
    <row r="237" spans="2:15" x14ac:dyDescent="0.25">
      <c r="B237" s="3" t="s">
        <v>402</v>
      </c>
      <c r="C237" s="232" t="s">
        <v>403</v>
      </c>
      <c r="D237" s="232"/>
      <c r="E237" s="232" t="s">
        <v>467</v>
      </c>
      <c r="F237" s="232"/>
      <c r="G237" s="232" t="s">
        <v>405</v>
      </c>
      <c r="H237" s="232"/>
      <c r="I237" s="232" t="s">
        <v>406</v>
      </c>
      <c r="J237" s="232"/>
      <c r="K237" s="234" t="s">
        <v>468</v>
      </c>
      <c r="L237" s="235"/>
      <c r="M237" s="236"/>
    </row>
    <row r="238" spans="2:15" ht="15.75" thickBot="1" x14ac:dyDescent="0.3">
      <c r="B238" s="5">
        <v>1.48</v>
      </c>
      <c r="C238" s="239">
        <v>1.25</v>
      </c>
      <c r="D238" s="238"/>
      <c r="E238" s="239">
        <v>3.5000000000000003E-2</v>
      </c>
      <c r="F238" s="238"/>
      <c r="G238" s="240"/>
      <c r="H238" s="240"/>
      <c r="I238" s="241"/>
      <c r="J238" s="241"/>
      <c r="K238" s="242"/>
      <c r="L238" s="243"/>
      <c r="M238" s="244"/>
    </row>
    <row r="239" spans="2:15" ht="15.75" thickBot="1" x14ac:dyDescent="0.3">
      <c r="B239" s="1"/>
      <c r="C239" s="1"/>
      <c r="D239" s="1"/>
      <c r="E239" s="1"/>
      <c r="F239" s="1"/>
      <c r="G239" s="1"/>
      <c r="H239" s="1"/>
    </row>
    <row r="240" spans="2:15" x14ac:dyDescent="0.25">
      <c r="B240" s="217" t="s">
        <v>408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9"/>
    </row>
    <row r="241" spans="2:18" x14ac:dyDescent="0.25">
      <c r="B241" s="3" t="s">
        <v>3860</v>
      </c>
      <c r="C241" s="232" t="s">
        <v>3861</v>
      </c>
      <c r="D241" s="232"/>
      <c r="E241" s="268" t="s">
        <v>3862</v>
      </c>
      <c r="F241" s="268"/>
      <c r="G241" s="268" t="s">
        <v>3863</v>
      </c>
      <c r="H241" s="268"/>
      <c r="I241" s="232" t="s">
        <v>3864</v>
      </c>
      <c r="J241" s="232"/>
      <c r="K241" s="232" t="s">
        <v>3865</v>
      </c>
      <c r="L241" s="232"/>
      <c r="M241" s="269"/>
    </row>
    <row r="242" spans="2:18" ht="15.75" thickBot="1" x14ac:dyDescent="0.3">
      <c r="B242" s="5" t="s">
        <v>3866</v>
      </c>
      <c r="C242" s="237" t="s">
        <v>3867</v>
      </c>
      <c r="D242" s="238"/>
      <c r="E242" s="240" t="s">
        <v>3868</v>
      </c>
      <c r="F242" s="240"/>
      <c r="G242" s="240" t="s">
        <v>3869</v>
      </c>
      <c r="H242" s="240"/>
      <c r="I242" s="240" t="s">
        <v>3846</v>
      </c>
      <c r="J242" s="240"/>
      <c r="K242" s="240" t="s">
        <v>3870</v>
      </c>
      <c r="L242" s="240"/>
      <c r="M242" s="267"/>
    </row>
    <row r="244" spans="2:18" ht="23.25" x14ac:dyDescent="0.35">
      <c r="B244" s="29" t="s">
        <v>334</v>
      </c>
      <c r="C244" s="229" t="s">
        <v>37</v>
      </c>
      <c r="D244" s="229"/>
      <c r="E244" s="229"/>
      <c r="F244" s="229"/>
      <c r="G244" s="229"/>
      <c r="H244" s="229"/>
      <c r="I244" s="229"/>
      <c r="J244" s="229"/>
      <c r="K244" s="229"/>
    </row>
    <row r="245" spans="2:18" ht="18.75" x14ac:dyDescent="0.3">
      <c r="B245" s="12" t="s">
        <v>335</v>
      </c>
      <c r="C245" s="1" t="s">
        <v>2</v>
      </c>
      <c r="D245" s="228" t="s">
        <v>427</v>
      </c>
      <c r="E245" s="228"/>
      <c r="F245" s="1" t="s">
        <v>3871</v>
      </c>
      <c r="L245" s="12" t="s">
        <v>339</v>
      </c>
      <c r="M245" s="6" t="s">
        <v>36</v>
      </c>
    </row>
    <row r="247" spans="2:18" x14ac:dyDescent="0.25">
      <c r="B247" s="2" t="s">
        <v>341</v>
      </c>
      <c r="C247" s="322" t="s">
        <v>3872</v>
      </c>
      <c r="D247" s="322"/>
      <c r="E247" s="322" t="s">
        <v>3873</v>
      </c>
      <c r="F247" s="322"/>
      <c r="G247" s="228" t="s">
        <v>345</v>
      </c>
      <c r="H247" s="228"/>
      <c r="I247" s="228"/>
      <c r="J247" s="228"/>
      <c r="K247" s="228"/>
      <c r="O247" s="101" t="s">
        <v>3874</v>
      </c>
      <c r="R247" s="101" t="s">
        <v>3875</v>
      </c>
    </row>
    <row r="248" spans="2:18" x14ac:dyDescent="0.25">
      <c r="C248" s="14"/>
      <c r="D248" s="14"/>
      <c r="E248" s="14"/>
      <c r="F248" s="14"/>
    </row>
    <row r="249" spans="2:18" x14ac:dyDescent="0.25">
      <c r="B249" s="13" t="s">
        <v>3876</v>
      </c>
      <c r="C249" s="252" t="s">
        <v>368</v>
      </c>
      <c r="D249" s="252"/>
      <c r="E249" s="252" t="s">
        <v>368</v>
      </c>
      <c r="F249" s="252"/>
      <c r="G249" s="14" t="s">
        <v>3877</v>
      </c>
      <c r="H249" s="14"/>
      <c r="O249" s="98">
        <v>0.28249999999999997</v>
      </c>
      <c r="P249" s="98"/>
      <c r="Q249" s="98"/>
      <c r="R249" s="98">
        <v>0.215</v>
      </c>
    </row>
    <row r="250" spans="2:18" x14ac:dyDescent="0.25">
      <c r="B250" s="13"/>
      <c r="C250" s="188"/>
      <c r="D250" s="188"/>
      <c r="E250" s="188"/>
      <c r="F250" s="188"/>
      <c r="G250" s="14" t="s">
        <v>3878</v>
      </c>
      <c r="H250" s="16"/>
      <c r="O250" s="98"/>
      <c r="P250" s="98"/>
      <c r="Q250" s="98"/>
      <c r="R250" s="98"/>
    </row>
    <row r="251" spans="2:18" x14ac:dyDescent="0.25">
      <c r="B251" s="14" t="s">
        <v>3879</v>
      </c>
      <c r="C251" s="253" t="s">
        <v>1497</v>
      </c>
      <c r="D251" s="253"/>
      <c r="E251" s="253" t="s">
        <v>1497</v>
      </c>
      <c r="F251" s="253"/>
      <c r="G251" s="14" t="s">
        <v>3880</v>
      </c>
      <c r="H251" s="14"/>
      <c r="O251" s="98">
        <v>0.6734</v>
      </c>
      <c r="P251" s="98"/>
      <c r="Q251" s="98"/>
      <c r="R251" s="98">
        <v>0.51300000000000001</v>
      </c>
    </row>
    <row r="252" spans="2:18" x14ac:dyDescent="0.25">
      <c r="B252" s="14" t="s">
        <v>3881</v>
      </c>
      <c r="C252" s="253"/>
      <c r="D252" s="253"/>
      <c r="E252" s="253"/>
      <c r="F252" s="253"/>
      <c r="G252" s="14" t="s">
        <v>3882</v>
      </c>
      <c r="O252" s="98"/>
      <c r="P252" s="98"/>
      <c r="Q252" s="98"/>
      <c r="R252" s="98"/>
    </row>
    <row r="253" spans="2:18" x14ac:dyDescent="0.25">
      <c r="B253" s="13" t="s">
        <v>3883</v>
      </c>
      <c r="C253" s="252" t="s">
        <v>1497</v>
      </c>
      <c r="D253" s="252"/>
      <c r="E253" s="252" t="s">
        <v>1497</v>
      </c>
      <c r="F253" s="252"/>
      <c r="G253" s="14" t="s">
        <v>3884</v>
      </c>
      <c r="O253" s="98">
        <v>0.41599999999999998</v>
      </c>
      <c r="P253" s="98"/>
      <c r="Q253" s="98"/>
      <c r="R253" s="98">
        <v>0.317</v>
      </c>
    </row>
    <row r="254" spans="2:18" x14ac:dyDescent="0.25">
      <c r="B254" s="13"/>
      <c r="C254" s="188"/>
      <c r="D254" s="188"/>
      <c r="E254" s="188"/>
      <c r="F254" s="188"/>
      <c r="G254" s="14" t="s">
        <v>3885</v>
      </c>
      <c r="O254" s="98"/>
      <c r="P254" s="98"/>
      <c r="Q254" s="98"/>
      <c r="R254" s="98"/>
    </row>
    <row r="255" spans="2:18" x14ac:dyDescent="0.25">
      <c r="B255" s="14" t="s">
        <v>3853</v>
      </c>
      <c r="C255" s="253" t="s">
        <v>1194</v>
      </c>
      <c r="D255" s="253"/>
      <c r="E255" s="253" t="s">
        <v>1194</v>
      </c>
      <c r="F255" s="253"/>
      <c r="O255" s="99">
        <v>9.2799999999999994E-2</v>
      </c>
      <c r="P255" s="98"/>
      <c r="Q255" s="98"/>
      <c r="R255" s="99">
        <v>7.0699999999999999E-2</v>
      </c>
    </row>
    <row r="256" spans="2:18" ht="15.75" thickBot="1" x14ac:dyDescent="0.3">
      <c r="B256" s="14"/>
      <c r="C256" s="189"/>
      <c r="D256" s="189"/>
      <c r="E256" s="14"/>
      <c r="F256" s="14"/>
      <c r="O256" s="98"/>
      <c r="P256" s="98"/>
      <c r="Q256" s="98"/>
      <c r="R256" s="98"/>
    </row>
    <row r="257" spans="2:18" x14ac:dyDescent="0.25">
      <c r="B257" s="217" t="s">
        <v>3886</v>
      </c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9"/>
      <c r="O257" s="100">
        <f>SUM(O249:O255)</f>
        <v>1.4646999999999999</v>
      </c>
      <c r="P257" s="98"/>
      <c r="Q257" s="98"/>
      <c r="R257" s="100">
        <f>SUM(R249:R255)</f>
        <v>1.1156999999999999</v>
      </c>
    </row>
    <row r="258" spans="2:18" x14ac:dyDescent="0.25">
      <c r="B258" s="3" t="s">
        <v>402</v>
      </c>
      <c r="C258" s="232" t="s">
        <v>403</v>
      </c>
      <c r="D258" s="232"/>
      <c r="E258" s="232" t="s">
        <v>467</v>
      </c>
      <c r="F258" s="232"/>
      <c r="G258" s="232" t="s">
        <v>405</v>
      </c>
      <c r="H258" s="232"/>
      <c r="I258" s="232" t="s">
        <v>406</v>
      </c>
      <c r="J258" s="232"/>
      <c r="K258" s="234" t="s">
        <v>468</v>
      </c>
      <c r="L258" s="235"/>
      <c r="M258" s="236"/>
    </row>
    <row r="259" spans="2:18" ht="15.75" thickBot="1" x14ac:dyDescent="0.3">
      <c r="B259" s="5">
        <v>1</v>
      </c>
      <c r="C259" s="237"/>
      <c r="D259" s="238"/>
      <c r="E259" s="239">
        <v>0.05</v>
      </c>
      <c r="F259" s="238"/>
      <c r="G259" s="240">
        <v>0.5</v>
      </c>
      <c r="H259" s="240"/>
      <c r="I259" s="241"/>
      <c r="J259" s="241"/>
      <c r="K259" s="242"/>
      <c r="L259" s="243"/>
      <c r="M259" s="244"/>
    </row>
    <row r="260" spans="2:18" ht="15.75" thickBot="1" x14ac:dyDescent="0.3">
      <c r="B260" s="1"/>
      <c r="C260" s="1"/>
      <c r="D260" s="1"/>
      <c r="E260" s="1"/>
      <c r="F260" s="1"/>
      <c r="G260" s="1"/>
      <c r="H260" s="1"/>
    </row>
    <row r="261" spans="2:18" x14ac:dyDescent="0.25">
      <c r="B261" s="217" t="s">
        <v>3887</v>
      </c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9"/>
    </row>
    <row r="262" spans="2:18" x14ac:dyDescent="0.25">
      <c r="B262" s="3" t="s">
        <v>3888</v>
      </c>
      <c r="C262" s="232" t="s">
        <v>3889</v>
      </c>
      <c r="D262" s="232"/>
      <c r="E262" s="268" t="s">
        <v>3890</v>
      </c>
      <c r="F262" s="268"/>
      <c r="G262" s="268" t="s">
        <v>692</v>
      </c>
      <c r="H262" s="268"/>
      <c r="I262" s="232" t="s">
        <v>3891</v>
      </c>
      <c r="J262" s="232"/>
      <c r="K262" s="232" t="s">
        <v>3892</v>
      </c>
      <c r="L262" s="232"/>
      <c r="M262" s="269"/>
    </row>
    <row r="263" spans="2:18" ht="15.75" thickBot="1" x14ac:dyDescent="0.3">
      <c r="B263" s="5" t="s">
        <v>3866</v>
      </c>
      <c r="C263" s="237" t="s">
        <v>2257</v>
      </c>
      <c r="D263" s="238"/>
      <c r="E263" s="240" t="s">
        <v>3893</v>
      </c>
      <c r="F263" s="240"/>
      <c r="G263" s="240" t="s">
        <v>3894</v>
      </c>
      <c r="H263" s="240"/>
      <c r="I263" s="240" t="s">
        <v>3895</v>
      </c>
      <c r="J263" s="240"/>
      <c r="K263" s="240" t="s">
        <v>3896</v>
      </c>
      <c r="L263" s="240"/>
      <c r="M263" s="267"/>
    </row>
    <row r="264" spans="2:18" ht="15.75" thickBot="1" x14ac:dyDescent="0.3">
      <c r="B264" s="14"/>
      <c r="C264" s="189"/>
      <c r="D264" s="189"/>
      <c r="E264" s="14"/>
      <c r="F264" s="14"/>
    </row>
    <row r="265" spans="2:18" x14ac:dyDescent="0.25">
      <c r="B265" s="217" t="s">
        <v>3897</v>
      </c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9"/>
    </row>
    <row r="266" spans="2:18" x14ac:dyDescent="0.25">
      <c r="B266" s="3" t="s">
        <v>402</v>
      </c>
      <c r="C266" s="232" t="s">
        <v>403</v>
      </c>
      <c r="D266" s="232"/>
      <c r="E266" s="232" t="s">
        <v>467</v>
      </c>
      <c r="F266" s="232"/>
      <c r="G266" s="232" t="s">
        <v>405</v>
      </c>
      <c r="H266" s="232"/>
      <c r="I266" s="232" t="s">
        <v>406</v>
      </c>
      <c r="J266" s="232"/>
      <c r="K266" s="234" t="s">
        <v>468</v>
      </c>
      <c r="L266" s="235"/>
      <c r="M266" s="236"/>
    </row>
    <row r="267" spans="2:18" ht="15.75" thickBot="1" x14ac:dyDescent="0.3">
      <c r="B267" s="5">
        <v>0.8</v>
      </c>
      <c r="C267" s="237"/>
      <c r="D267" s="238"/>
      <c r="E267" s="239">
        <v>3.5999999999999997E-2</v>
      </c>
      <c r="F267" s="238"/>
      <c r="G267" s="240">
        <v>0.36499999999999999</v>
      </c>
      <c r="H267" s="240"/>
      <c r="I267" s="241"/>
      <c r="J267" s="241"/>
      <c r="K267" s="242"/>
      <c r="L267" s="243"/>
      <c r="M267" s="244"/>
    </row>
    <row r="268" spans="2:18" ht="15.75" thickBot="1" x14ac:dyDescent="0.3">
      <c r="B268" s="1"/>
      <c r="C268" s="1"/>
      <c r="D268" s="1"/>
      <c r="E268" s="1"/>
      <c r="F268" s="1"/>
      <c r="G268" s="1"/>
      <c r="H268" s="1"/>
    </row>
    <row r="269" spans="2:18" x14ac:dyDescent="0.25">
      <c r="B269" s="217" t="s">
        <v>3898</v>
      </c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9"/>
    </row>
    <row r="270" spans="2:18" x14ac:dyDescent="0.25">
      <c r="B270" s="3" t="s">
        <v>3888</v>
      </c>
      <c r="C270" s="232" t="s">
        <v>3889</v>
      </c>
      <c r="D270" s="232"/>
      <c r="E270" s="268" t="s">
        <v>3890</v>
      </c>
      <c r="F270" s="268"/>
      <c r="G270" s="268" t="s">
        <v>692</v>
      </c>
      <c r="H270" s="268"/>
      <c r="I270" s="232" t="s">
        <v>3891</v>
      </c>
      <c r="J270" s="232"/>
      <c r="K270" s="232" t="s">
        <v>3892</v>
      </c>
      <c r="L270" s="232"/>
      <c r="M270" s="269"/>
    </row>
    <row r="271" spans="2:18" ht="15.75" thickBot="1" x14ac:dyDescent="0.3">
      <c r="B271" s="5" t="s">
        <v>3866</v>
      </c>
      <c r="C271" s="237" t="s">
        <v>2257</v>
      </c>
      <c r="D271" s="238"/>
      <c r="E271" s="240" t="s">
        <v>3893</v>
      </c>
      <c r="F271" s="240"/>
      <c r="G271" s="240" t="s">
        <v>3894</v>
      </c>
      <c r="H271" s="240"/>
      <c r="I271" s="240" t="s">
        <v>3895</v>
      </c>
      <c r="J271" s="240"/>
      <c r="K271" s="240" t="s">
        <v>3896</v>
      </c>
      <c r="L271" s="240"/>
      <c r="M271" s="267"/>
    </row>
    <row r="273" spans="2:17" ht="23.25" x14ac:dyDescent="0.35">
      <c r="B273" s="29" t="s">
        <v>334</v>
      </c>
      <c r="C273" s="229" t="s">
        <v>17</v>
      </c>
      <c r="D273" s="229"/>
      <c r="E273" s="229"/>
      <c r="F273" s="229"/>
      <c r="G273" s="229"/>
      <c r="H273" s="229"/>
      <c r="I273" s="229"/>
      <c r="J273" s="229"/>
      <c r="K273" s="229"/>
      <c r="Q273" s="101" t="s">
        <v>481</v>
      </c>
    </row>
    <row r="274" spans="2:17" ht="18.75" x14ac:dyDescent="0.3">
      <c r="B274" s="12" t="s">
        <v>335</v>
      </c>
      <c r="C274" s="1" t="s">
        <v>2</v>
      </c>
      <c r="D274" s="228" t="s">
        <v>427</v>
      </c>
      <c r="E274" s="228"/>
      <c r="F274" s="1" t="s">
        <v>3772</v>
      </c>
      <c r="L274" s="12" t="s">
        <v>339</v>
      </c>
      <c r="M274" s="6" t="s">
        <v>16</v>
      </c>
    </row>
    <row r="276" spans="2:17" x14ac:dyDescent="0.25">
      <c r="B276" s="2" t="s">
        <v>341</v>
      </c>
      <c r="C276" s="250" t="s">
        <v>3899</v>
      </c>
      <c r="D276" s="250"/>
      <c r="E276" s="250" t="s">
        <v>3900</v>
      </c>
      <c r="F276" s="250"/>
      <c r="G276" s="250" t="s">
        <v>3901</v>
      </c>
      <c r="H276" s="250"/>
      <c r="I276" s="228" t="s">
        <v>345</v>
      </c>
      <c r="J276" s="228"/>
      <c r="K276" s="228"/>
      <c r="L276" s="228"/>
      <c r="M276" s="228"/>
      <c r="N276" s="10"/>
      <c r="O276" s="10"/>
      <c r="Q276" s="101" t="s">
        <v>732</v>
      </c>
    </row>
    <row r="278" spans="2:17" x14ac:dyDescent="0.25">
      <c r="B278" s="11" t="s">
        <v>652</v>
      </c>
      <c r="C278" s="230" t="s">
        <v>1674</v>
      </c>
      <c r="D278" s="230"/>
      <c r="E278" s="230" t="s">
        <v>399</v>
      </c>
      <c r="F278" s="230"/>
      <c r="G278" s="230" t="s">
        <v>602</v>
      </c>
      <c r="H278" s="230"/>
      <c r="I278" s="14" t="s">
        <v>3902</v>
      </c>
      <c r="J278" s="14"/>
      <c r="Q278" s="98" t="e">
        <f>SUM(2.3*#REF!)/32</f>
        <v>#REF!</v>
      </c>
    </row>
    <row r="279" spans="2:17" x14ac:dyDescent="0.25">
      <c r="B279" s="11"/>
      <c r="C279" s="185"/>
      <c r="D279" s="185"/>
      <c r="E279" s="185"/>
      <c r="F279" s="185"/>
      <c r="G279" s="185"/>
      <c r="H279" s="185"/>
      <c r="I279" s="14" t="s">
        <v>3903</v>
      </c>
      <c r="J279" s="14"/>
      <c r="Q279" s="98"/>
    </row>
    <row r="280" spans="2:17" x14ac:dyDescent="0.25">
      <c r="B280" s="1" t="s">
        <v>1946</v>
      </c>
      <c r="C280" s="283" t="s">
        <v>1674</v>
      </c>
      <c r="D280" s="283"/>
      <c r="E280" s="283" t="s">
        <v>399</v>
      </c>
      <c r="F280" s="283"/>
      <c r="G280" s="283" t="s">
        <v>602</v>
      </c>
      <c r="H280" s="283"/>
      <c r="I280" s="14" t="s">
        <v>3904</v>
      </c>
      <c r="J280" s="14"/>
      <c r="Q280" s="98" t="e">
        <f>SUM(2.3*#REF!)/32</f>
        <v>#REF!</v>
      </c>
    </row>
    <row r="281" spans="2:17" x14ac:dyDescent="0.25">
      <c r="B281" s="1"/>
      <c r="C281" s="283"/>
      <c r="D281" s="283"/>
      <c r="E281" s="283"/>
      <c r="F281" s="283"/>
      <c r="G281" s="283"/>
      <c r="H281" s="283"/>
      <c r="I281" s="14" t="s">
        <v>3905</v>
      </c>
      <c r="J281" s="14"/>
      <c r="Q281" s="98"/>
    </row>
    <row r="282" spans="2:17" x14ac:dyDescent="0.25">
      <c r="B282" s="11" t="s">
        <v>3906</v>
      </c>
      <c r="C282" s="230" t="s">
        <v>1842</v>
      </c>
      <c r="D282" s="230"/>
      <c r="E282" s="230" t="s">
        <v>880</v>
      </c>
      <c r="F282" s="230"/>
      <c r="G282" s="230" t="s">
        <v>881</v>
      </c>
      <c r="H282" s="230"/>
      <c r="I282" s="14" t="s">
        <v>3907</v>
      </c>
      <c r="J282" s="14"/>
      <c r="Q282" s="102" t="e">
        <f>SUM(3.25*#REF!)/32</f>
        <v>#REF!</v>
      </c>
    </row>
    <row r="283" spans="2:17" x14ac:dyDescent="0.25">
      <c r="B283" s="11"/>
      <c r="C283" s="185"/>
      <c r="D283" s="185"/>
      <c r="E283" s="185"/>
      <c r="F283" s="185"/>
      <c r="G283" s="185"/>
      <c r="H283" s="185"/>
      <c r="I283" s="14" t="s">
        <v>3908</v>
      </c>
      <c r="J283" s="14"/>
      <c r="Q283" s="98"/>
    </row>
    <row r="284" spans="2:17" x14ac:dyDescent="0.25">
      <c r="B284" s="1" t="s">
        <v>518</v>
      </c>
      <c r="C284" s="283" t="s">
        <v>657</v>
      </c>
      <c r="D284" s="283"/>
      <c r="E284" s="283" t="s">
        <v>1127</v>
      </c>
      <c r="F284" s="283"/>
      <c r="G284" s="283" t="s">
        <v>549</v>
      </c>
      <c r="H284" s="283"/>
      <c r="I284" s="14" t="s">
        <v>3909</v>
      </c>
      <c r="J284" s="14"/>
      <c r="Q284" s="103" t="e">
        <f>SUM(1.5*#REF!)/32</f>
        <v>#REF!</v>
      </c>
    </row>
    <row r="285" spans="2:17" x14ac:dyDescent="0.25">
      <c r="B285" s="1"/>
      <c r="C285" s="195"/>
      <c r="D285" s="195"/>
      <c r="E285" s="195"/>
      <c r="F285" s="195"/>
      <c r="G285" s="195"/>
      <c r="H285" s="195"/>
      <c r="I285" s="14"/>
      <c r="J285" s="14"/>
      <c r="Q285" s="98"/>
    </row>
    <row r="286" spans="2:17" x14ac:dyDescent="0.25">
      <c r="B286" s="11" t="s">
        <v>660</v>
      </c>
      <c r="C286" s="230" t="s">
        <v>789</v>
      </c>
      <c r="D286" s="230"/>
      <c r="E286" s="230" t="s">
        <v>1194</v>
      </c>
      <c r="F286" s="230"/>
      <c r="G286" s="230" t="s">
        <v>1019</v>
      </c>
      <c r="H286" s="230"/>
      <c r="I286" s="14"/>
      <c r="J286" s="14"/>
      <c r="Q286" s="98" t="e">
        <f>SUM(2*#REF!)/32</f>
        <v>#REF!</v>
      </c>
    </row>
    <row r="287" spans="2:17" x14ac:dyDescent="0.25">
      <c r="B287" s="11"/>
      <c r="C287" s="185"/>
      <c r="D287" s="185"/>
      <c r="E287" s="185"/>
      <c r="F287" s="185"/>
      <c r="G287" s="185"/>
      <c r="H287" s="185"/>
      <c r="I287" s="14"/>
      <c r="J287" s="14"/>
      <c r="Q287" s="98"/>
    </row>
    <row r="288" spans="2:17" x14ac:dyDescent="0.25">
      <c r="B288" s="1" t="s">
        <v>3833</v>
      </c>
      <c r="C288" s="283" t="s">
        <v>657</v>
      </c>
      <c r="D288" s="283"/>
      <c r="E288" s="283" t="s">
        <v>1127</v>
      </c>
      <c r="F288" s="283"/>
      <c r="G288" s="283" t="s">
        <v>549</v>
      </c>
      <c r="H288" s="283"/>
      <c r="Q288" s="102" t="e">
        <f>SUM(1.5*#REF!)/32</f>
        <v>#REF!</v>
      </c>
    </row>
    <row r="289" spans="2:17" x14ac:dyDescent="0.25">
      <c r="B289" s="1"/>
      <c r="C289" s="283"/>
      <c r="D289" s="283"/>
      <c r="E289" s="283"/>
      <c r="F289" s="283"/>
      <c r="G289" s="283"/>
      <c r="H289" s="283"/>
      <c r="Q289" s="98"/>
    </row>
    <row r="290" spans="2:17" x14ac:dyDescent="0.25">
      <c r="B290" s="11" t="s">
        <v>3728</v>
      </c>
      <c r="C290" s="230" t="s">
        <v>3910</v>
      </c>
      <c r="D290" s="230"/>
      <c r="E290" s="230" t="s">
        <v>3911</v>
      </c>
      <c r="F290" s="230"/>
      <c r="G290" s="230" t="s">
        <v>491</v>
      </c>
      <c r="H290" s="230"/>
      <c r="Q290" s="102" t="e">
        <f>SUM(3.5*#REF!)/32</f>
        <v>#REF!</v>
      </c>
    </row>
    <row r="291" spans="2:17" x14ac:dyDescent="0.25">
      <c r="B291" s="11"/>
      <c r="C291" s="185"/>
      <c r="D291" s="185"/>
      <c r="E291" s="185"/>
      <c r="F291" s="185"/>
      <c r="G291" s="185"/>
      <c r="H291" s="185"/>
      <c r="Q291" s="98"/>
    </row>
    <row r="292" spans="2:17" x14ac:dyDescent="0.25">
      <c r="B292" s="1" t="s">
        <v>3912</v>
      </c>
      <c r="C292" s="283" t="s">
        <v>786</v>
      </c>
      <c r="D292" s="283"/>
      <c r="E292" s="283" t="s">
        <v>382</v>
      </c>
      <c r="F292" s="283"/>
      <c r="G292" s="283" t="s">
        <v>1194</v>
      </c>
      <c r="H292" s="283"/>
      <c r="Q292" s="98" t="e">
        <f>SUM(1.25*#REF!)/32</f>
        <v>#REF!</v>
      </c>
    </row>
    <row r="293" spans="2:17" x14ac:dyDescent="0.25">
      <c r="B293" s="1"/>
      <c r="C293" s="195"/>
      <c r="D293" s="195"/>
      <c r="E293" s="195"/>
      <c r="F293" s="195"/>
      <c r="G293" s="195"/>
      <c r="H293" s="195"/>
      <c r="Q293" s="98"/>
    </row>
    <row r="294" spans="2:17" x14ac:dyDescent="0.25">
      <c r="B294" s="11" t="s">
        <v>1149</v>
      </c>
      <c r="C294" s="230" t="s">
        <v>3448</v>
      </c>
      <c r="D294" s="230"/>
      <c r="E294" s="230" t="s">
        <v>2637</v>
      </c>
      <c r="F294" s="230"/>
      <c r="G294" s="230" t="s">
        <v>2103</v>
      </c>
      <c r="H294" s="230"/>
      <c r="Q294" s="98" t="e">
        <f>SUM(0.3*#REF!)/32</f>
        <v>#REF!</v>
      </c>
    </row>
    <row r="295" spans="2:17" x14ac:dyDescent="0.25">
      <c r="B295" s="11"/>
      <c r="C295" s="185"/>
      <c r="D295" s="185"/>
      <c r="E295" s="185"/>
      <c r="F295" s="185"/>
      <c r="G295" s="185"/>
      <c r="H295" s="185"/>
      <c r="Q295" s="98"/>
    </row>
    <row r="296" spans="2:17" x14ac:dyDescent="0.25">
      <c r="B296" s="1" t="s">
        <v>3913</v>
      </c>
      <c r="C296" s="283" t="s">
        <v>1516</v>
      </c>
      <c r="D296" s="283"/>
      <c r="E296" s="283" t="s">
        <v>3914</v>
      </c>
      <c r="F296" s="283"/>
      <c r="G296" s="283" t="s">
        <v>2228</v>
      </c>
      <c r="H296" s="283"/>
      <c r="Q296" s="103" t="e">
        <f>SUM(9*#REF!)/32</f>
        <v>#REF!</v>
      </c>
    </row>
    <row r="297" spans="2:17" x14ac:dyDescent="0.25">
      <c r="B297" s="1"/>
      <c r="C297" s="195"/>
      <c r="D297" s="195"/>
      <c r="E297" s="195"/>
      <c r="F297" s="195"/>
      <c r="G297" s="195"/>
      <c r="H297" s="195"/>
      <c r="Q297" s="98"/>
    </row>
    <row r="298" spans="2:17" x14ac:dyDescent="0.25">
      <c r="B298" s="11" t="s">
        <v>1840</v>
      </c>
      <c r="C298" s="230" t="s">
        <v>1645</v>
      </c>
      <c r="D298" s="230"/>
      <c r="E298" s="230" t="s">
        <v>1295</v>
      </c>
      <c r="F298" s="230"/>
      <c r="G298" s="230" t="s">
        <v>513</v>
      </c>
      <c r="H298" s="230"/>
      <c r="Q298" s="103" t="e">
        <f>SUM(0.75*#REF!)/32</f>
        <v>#REF!</v>
      </c>
    </row>
    <row r="299" spans="2:17" x14ac:dyDescent="0.25">
      <c r="B299" s="11"/>
      <c r="C299" s="185"/>
      <c r="D299" s="185"/>
      <c r="E299" s="185"/>
      <c r="F299" s="185"/>
      <c r="G299" s="185"/>
      <c r="H299" s="185"/>
      <c r="Q299" s="98"/>
    </row>
    <row r="300" spans="2:17" x14ac:dyDescent="0.25">
      <c r="B300" s="1" t="s">
        <v>3834</v>
      </c>
      <c r="C300" s="283" t="s">
        <v>2063</v>
      </c>
      <c r="D300" s="283"/>
      <c r="E300" s="283" t="s">
        <v>3835</v>
      </c>
      <c r="F300" s="283"/>
      <c r="G300" s="283" t="s">
        <v>516</v>
      </c>
      <c r="H300" s="283"/>
      <c r="Q300" s="105" t="e">
        <f>SUM(0.3*#REF!)/32</f>
        <v>#REF!</v>
      </c>
    </row>
    <row r="301" spans="2:17" x14ac:dyDescent="0.25">
      <c r="B301" s="14"/>
      <c r="C301" s="14"/>
      <c r="D301" s="14"/>
      <c r="E301" s="14"/>
      <c r="F301" s="14"/>
      <c r="G301" s="15"/>
      <c r="H301" s="14"/>
      <c r="Q301" s="98"/>
    </row>
    <row r="302" spans="2:17" x14ac:dyDescent="0.25">
      <c r="B302" s="217" t="s">
        <v>401</v>
      </c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9"/>
      <c r="Q302" s="100" t="e">
        <f>SUM(Q278:Q300)</f>
        <v>#REF!</v>
      </c>
    </row>
    <row r="303" spans="2:17" x14ac:dyDescent="0.25">
      <c r="B303" s="3" t="s">
        <v>402</v>
      </c>
      <c r="C303" s="232" t="s">
        <v>403</v>
      </c>
      <c r="D303" s="232"/>
      <c r="E303" s="232" t="s">
        <v>467</v>
      </c>
      <c r="F303" s="232"/>
      <c r="G303" s="232" t="s">
        <v>405</v>
      </c>
      <c r="H303" s="232"/>
      <c r="I303" s="232" t="s">
        <v>406</v>
      </c>
      <c r="J303" s="232"/>
      <c r="K303" s="234" t="s">
        <v>468</v>
      </c>
      <c r="L303" s="235"/>
      <c r="M303" s="236"/>
      <c r="O303" s="98"/>
    </row>
    <row r="304" spans="2:17" ht="15.75" thickBot="1" x14ac:dyDescent="0.3">
      <c r="B304" s="5">
        <v>0.33750000000000002</v>
      </c>
      <c r="C304" s="237">
        <v>1.1625000000000001</v>
      </c>
      <c r="D304" s="238"/>
      <c r="E304" s="239"/>
      <c r="F304" s="238"/>
      <c r="G304" s="240">
        <v>0.12</v>
      </c>
      <c r="H304" s="240"/>
      <c r="I304" s="241"/>
      <c r="J304" s="241"/>
      <c r="K304" s="242"/>
      <c r="L304" s="243"/>
      <c r="M304" s="244"/>
    </row>
    <row r="305" spans="2:15" x14ac:dyDescent="0.25">
      <c r="B305" s="1"/>
      <c r="C305" s="1"/>
      <c r="D305" s="1"/>
      <c r="E305" s="1"/>
      <c r="F305" s="1"/>
      <c r="G305" s="1"/>
      <c r="H305" s="1"/>
    </row>
    <row r="306" spans="2:15" x14ac:dyDescent="0.25">
      <c r="B306" s="217" t="s">
        <v>408</v>
      </c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9"/>
    </row>
    <row r="307" spans="2:15" x14ac:dyDescent="0.25">
      <c r="B307" s="122" t="s">
        <v>2905</v>
      </c>
      <c r="C307" s="220" t="s">
        <v>3915</v>
      </c>
      <c r="D307" s="220"/>
      <c r="E307" s="221" t="s">
        <v>3916</v>
      </c>
      <c r="F307" s="221"/>
      <c r="G307" s="221" t="s">
        <v>2196</v>
      </c>
      <c r="H307" s="221"/>
      <c r="I307" s="220" t="s">
        <v>3917</v>
      </c>
      <c r="J307" s="220"/>
      <c r="K307" s="220" t="s">
        <v>1076</v>
      </c>
      <c r="L307" s="220"/>
      <c r="M307" s="222"/>
    </row>
    <row r="308" spans="2:15" x14ac:dyDescent="0.25">
      <c r="B308" s="123" t="s">
        <v>3918</v>
      </c>
      <c r="C308" s="225" t="s">
        <v>3919</v>
      </c>
      <c r="D308" s="226"/>
      <c r="E308" s="223" t="s">
        <v>3920</v>
      </c>
      <c r="F308" s="223"/>
      <c r="G308" s="223" t="s">
        <v>3921</v>
      </c>
      <c r="H308" s="223"/>
      <c r="I308" s="227" t="s">
        <v>3922</v>
      </c>
      <c r="J308" s="227"/>
      <c r="K308" s="223" t="s">
        <v>2201</v>
      </c>
      <c r="L308" s="223"/>
      <c r="M308" s="224"/>
    </row>
    <row r="309" spans="2:15" x14ac:dyDescent="0.25">
      <c r="B309" s="123" t="s">
        <v>3923</v>
      </c>
      <c r="C309" s="225" t="s">
        <v>422</v>
      </c>
      <c r="D309" s="226"/>
      <c r="E309" s="227" t="s">
        <v>3924</v>
      </c>
      <c r="F309" s="227"/>
      <c r="G309" s="223" t="s">
        <v>3925</v>
      </c>
      <c r="H309" s="223"/>
      <c r="I309" s="223" t="s">
        <v>3926</v>
      </c>
      <c r="J309" s="223"/>
      <c r="K309" s="223"/>
      <c r="L309" s="223"/>
      <c r="M309" s="224"/>
    </row>
    <row r="311" spans="2:15" ht="23.25" x14ac:dyDescent="0.35">
      <c r="B311" s="29" t="s">
        <v>334</v>
      </c>
      <c r="C311" s="229" t="s">
        <v>92</v>
      </c>
      <c r="D311" s="229"/>
      <c r="E311" s="229"/>
      <c r="F311" s="229"/>
      <c r="G311" s="229"/>
      <c r="H311" s="229"/>
      <c r="I311" s="229"/>
      <c r="J311" s="229"/>
      <c r="K311" s="229"/>
    </row>
    <row r="312" spans="2:15" ht="18.75" x14ac:dyDescent="0.3">
      <c r="B312" s="12" t="s">
        <v>335</v>
      </c>
      <c r="C312" s="1" t="s">
        <v>2</v>
      </c>
      <c r="D312" s="228" t="s">
        <v>427</v>
      </c>
      <c r="E312" s="228"/>
      <c r="F312" s="1" t="s">
        <v>3927</v>
      </c>
      <c r="L312" s="12" t="s">
        <v>339</v>
      </c>
      <c r="M312" s="6" t="s">
        <v>91</v>
      </c>
    </row>
    <row r="314" spans="2:15" x14ac:dyDescent="0.25">
      <c r="B314" s="2" t="s">
        <v>341</v>
      </c>
      <c r="C314" s="322" t="s">
        <v>430</v>
      </c>
      <c r="D314" s="322"/>
      <c r="E314" s="322" t="s">
        <v>805</v>
      </c>
      <c r="F314" s="322"/>
      <c r="G314" s="228" t="s">
        <v>345</v>
      </c>
      <c r="H314" s="228"/>
      <c r="I314" s="228"/>
      <c r="J314" s="228"/>
      <c r="K314" s="228"/>
      <c r="O314" s="101" t="s">
        <v>732</v>
      </c>
    </row>
    <row r="315" spans="2:15" x14ac:dyDescent="0.25">
      <c r="C315" s="14"/>
      <c r="D315" s="14"/>
      <c r="E315" s="14"/>
      <c r="F315" s="14"/>
    </row>
    <row r="316" spans="2:15" x14ac:dyDescent="0.25">
      <c r="B316" s="13" t="s">
        <v>3928</v>
      </c>
      <c r="C316" s="252" t="s">
        <v>3929</v>
      </c>
      <c r="D316" s="252"/>
      <c r="E316" s="252" t="s">
        <v>3930</v>
      </c>
      <c r="F316" s="252"/>
      <c r="G316" s="14" t="s">
        <v>3931</v>
      </c>
      <c r="H316" s="14"/>
      <c r="I316" s="14"/>
      <c r="O316" s="98">
        <v>0.157975</v>
      </c>
    </row>
    <row r="317" spans="2:15" x14ac:dyDescent="0.25">
      <c r="B317" s="13" t="s">
        <v>2170</v>
      </c>
      <c r="C317" s="252" t="s">
        <v>466</v>
      </c>
      <c r="D317" s="252"/>
      <c r="E317" s="252" t="s">
        <v>820</v>
      </c>
      <c r="F317" s="252"/>
      <c r="G317" s="14" t="s">
        <v>3932</v>
      </c>
      <c r="H317" s="14"/>
      <c r="I317" s="14"/>
      <c r="O317" s="98"/>
    </row>
    <row r="318" spans="2:15" x14ac:dyDescent="0.25">
      <c r="B318" s="14" t="s">
        <v>3817</v>
      </c>
      <c r="C318" s="253" t="s">
        <v>790</v>
      </c>
      <c r="D318" s="253"/>
      <c r="E318" s="253" t="s">
        <v>1037</v>
      </c>
      <c r="F318" s="253"/>
      <c r="G318" s="14" t="s">
        <v>3933</v>
      </c>
      <c r="H318" s="14"/>
      <c r="I318" s="14"/>
      <c r="O318" s="98">
        <v>1.7399999999999999E-2</v>
      </c>
    </row>
    <row r="319" spans="2:15" x14ac:dyDescent="0.25">
      <c r="B319" s="14" t="s">
        <v>1852</v>
      </c>
      <c r="C319" s="253"/>
      <c r="D319" s="253"/>
      <c r="E319" s="253"/>
      <c r="F319" s="253"/>
      <c r="G319" s="14" t="s">
        <v>3934</v>
      </c>
      <c r="H319" s="14"/>
      <c r="I319" s="14"/>
      <c r="O319" s="98"/>
    </row>
    <row r="320" spans="2:15" x14ac:dyDescent="0.25">
      <c r="B320" s="13" t="s">
        <v>518</v>
      </c>
      <c r="C320" s="252" t="s">
        <v>657</v>
      </c>
      <c r="D320" s="252"/>
      <c r="E320" s="252" t="s">
        <v>486</v>
      </c>
      <c r="F320" s="252"/>
      <c r="G320" s="14" t="s">
        <v>3935</v>
      </c>
      <c r="H320" s="14"/>
      <c r="I320" s="14"/>
      <c r="O320" s="102">
        <v>9.7599999999999998E-4</v>
      </c>
    </row>
    <row r="321" spans="2:15" x14ac:dyDescent="0.25">
      <c r="B321" s="13"/>
      <c r="C321" s="188"/>
      <c r="D321" s="188"/>
      <c r="E321" s="188"/>
      <c r="F321" s="188"/>
      <c r="G321" s="14" t="s">
        <v>1830</v>
      </c>
      <c r="H321" s="14" t="s">
        <v>3936</v>
      </c>
      <c r="I321" s="14"/>
      <c r="O321" s="98"/>
    </row>
    <row r="322" spans="2:15" x14ac:dyDescent="0.25">
      <c r="B322" s="14" t="s">
        <v>3937</v>
      </c>
      <c r="C322" s="253" t="s">
        <v>678</v>
      </c>
      <c r="D322" s="253"/>
      <c r="E322" s="253" t="s">
        <v>524</v>
      </c>
      <c r="F322" s="253"/>
      <c r="G322" s="14"/>
      <c r="H322" s="14" t="s">
        <v>3938</v>
      </c>
      <c r="I322" s="14"/>
      <c r="O322" s="98">
        <v>7.4000000000000003E-3</v>
      </c>
    </row>
    <row r="323" spans="2:15" x14ac:dyDescent="0.25">
      <c r="B323" s="14"/>
      <c r="C323" s="189"/>
      <c r="D323" s="189"/>
      <c r="E323" s="189"/>
      <c r="F323" s="189"/>
      <c r="G323" s="14"/>
      <c r="H323" s="14" t="s">
        <v>3939</v>
      </c>
      <c r="I323" s="14"/>
      <c r="O323" s="98"/>
    </row>
    <row r="324" spans="2:15" x14ac:dyDescent="0.25">
      <c r="B324" s="13" t="s">
        <v>3940</v>
      </c>
      <c r="C324" s="252" t="s">
        <v>399</v>
      </c>
      <c r="D324" s="252"/>
      <c r="E324" s="252" t="s">
        <v>1209</v>
      </c>
      <c r="F324" s="252"/>
      <c r="G324" s="14" t="s">
        <v>3941</v>
      </c>
      <c r="H324" s="14"/>
      <c r="I324" s="14"/>
      <c r="O324" s="99">
        <v>4.5859999999999998E-2</v>
      </c>
    </row>
    <row r="325" spans="2:15" x14ac:dyDescent="0.25">
      <c r="B325" s="13" t="s">
        <v>3420</v>
      </c>
      <c r="C325" s="188"/>
      <c r="D325" s="188"/>
      <c r="E325" s="188"/>
      <c r="F325" s="188"/>
      <c r="G325" s="14" t="s">
        <v>3942</v>
      </c>
      <c r="H325" s="14"/>
      <c r="I325" s="14"/>
      <c r="O325" s="98"/>
    </row>
    <row r="326" spans="2:15" x14ac:dyDescent="0.25">
      <c r="B326" s="14"/>
      <c r="C326" s="253"/>
      <c r="D326" s="253"/>
      <c r="E326" s="253"/>
      <c r="F326" s="253"/>
      <c r="G326" s="14" t="s">
        <v>3943</v>
      </c>
      <c r="H326" s="14"/>
      <c r="I326" s="14"/>
      <c r="O326" s="100">
        <f>SUM(O316:O324)</f>
        <v>0.22961100000000001</v>
      </c>
    </row>
    <row r="327" spans="2:15" x14ac:dyDescent="0.25">
      <c r="B327" s="14"/>
      <c r="C327" s="253"/>
      <c r="D327" s="253"/>
      <c r="E327" s="253"/>
      <c r="F327" s="253"/>
      <c r="G327" s="14" t="s">
        <v>3944</v>
      </c>
      <c r="H327" s="14"/>
      <c r="I327" s="14"/>
    </row>
    <row r="328" spans="2:15" x14ac:dyDescent="0.25">
      <c r="B328" s="31"/>
      <c r="C328" s="255"/>
      <c r="D328" s="255"/>
      <c r="E328" s="255"/>
      <c r="F328" s="255"/>
      <c r="G328" s="14" t="s">
        <v>3945</v>
      </c>
      <c r="H328" s="14"/>
      <c r="I328" s="14"/>
    </row>
    <row r="329" spans="2:15" x14ac:dyDescent="0.25">
      <c r="B329" s="31"/>
      <c r="C329" s="191"/>
      <c r="D329" s="191"/>
      <c r="E329" s="191"/>
      <c r="F329" s="191"/>
      <c r="G329" s="14" t="s">
        <v>612</v>
      </c>
      <c r="H329" s="14"/>
      <c r="I329" s="14"/>
    </row>
    <row r="330" spans="2:15" x14ac:dyDescent="0.25">
      <c r="B330" s="14"/>
      <c r="C330" s="253"/>
      <c r="D330" s="253"/>
      <c r="E330" s="253"/>
      <c r="F330" s="253"/>
      <c r="G330" s="14" t="s">
        <v>3946</v>
      </c>
      <c r="H330" s="14"/>
      <c r="I330" s="14"/>
    </row>
    <row r="331" spans="2:15" ht="15.75" thickBot="1" x14ac:dyDescent="0.3">
      <c r="B331" s="14"/>
      <c r="C331" s="189"/>
      <c r="D331" s="189"/>
      <c r="E331" s="14"/>
      <c r="F331" s="14"/>
      <c r="G331" s="14" t="s">
        <v>3947</v>
      </c>
      <c r="H331" s="14"/>
      <c r="I331" s="14"/>
    </row>
    <row r="332" spans="2:15" x14ac:dyDescent="0.25">
      <c r="B332" s="217" t="s">
        <v>401</v>
      </c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9"/>
    </row>
    <row r="333" spans="2:15" x14ac:dyDescent="0.25">
      <c r="B333" s="3" t="s">
        <v>402</v>
      </c>
      <c r="C333" s="232" t="s">
        <v>403</v>
      </c>
      <c r="D333" s="232"/>
      <c r="E333" s="232" t="s">
        <v>467</v>
      </c>
      <c r="F333" s="232"/>
      <c r="G333" s="232" t="s">
        <v>405</v>
      </c>
      <c r="H333" s="232"/>
      <c r="I333" s="232" t="s">
        <v>406</v>
      </c>
      <c r="J333" s="232"/>
      <c r="K333" s="234" t="s">
        <v>468</v>
      </c>
      <c r="L333" s="235"/>
      <c r="M333" s="236"/>
    </row>
    <row r="334" spans="2:15" ht="15.75" thickBot="1" x14ac:dyDescent="0.3">
      <c r="B334" s="5" t="s">
        <v>3948</v>
      </c>
      <c r="C334" s="237"/>
      <c r="D334" s="238"/>
      <c r="E334" s="239"/>
      <c r="F334" s="238"/>
      <c r="G334" s="240"/>
      <c r="H334" s="240"/>
      <c r="I334" s="241"/>
      <c r="J334" s="241"/>
      <c r="K334" s="242"/>
      <c r="L334" s="243"/>
      <c r="M334" s="244"/>
    </row>
    <row r="335" spans="2:15" ht="15.75" thickBot="1" x14ac:dyDescent="0.3">
      <c r="B335" s="1"/>
      <c r="C335" s="1"/>
      <c r="D335" s="1"/>
      <c r="E335" s="1"/>
      <c r="F335" s="1"/>
      <c r="G335" s="1"/>
      <c r="H335" s="1"/>
    </row>
    <row r="336" spans="2:15" x14ac:dyDescent="0.25">
      <c r="B336" s="217" t="s">
        <v>408</v>
      </c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9"/>
    </row>
    <row r="337" spans="2:13" x14ac:dyDescent="0.25">
      <c r="B337" s="3" t="s">
        <v>3860</v>
      </c>
      <c r="C337" s="232" t="s">
        <v>3861</v>
      </c>
      <c r="D337" s="232"/>
      <c r="E337" s="268" t="s">
        <v>3862</v>
      </c>
      <c r="F337" s="268"/>
      <c r="G337" s="268" t="s">
        <v>3863</v>
      </c>
      <c r="H337" s="268"/>
      <c r="I337" s="232" t="s">
        <v>3864</v>
      </c>
      <c r="J337" s="232"/>
      <c r="K337" s="232" t="s">
        <v>3865</v>
      </c>
      <c r="L337" s="232"/>
      <c r="M337" s="269"/>
    </row>
    <row r="338" spans="2:13" ht="15.75" thickBot="1" x14ac:dyDescent="0.3">
      <c r="B338" s="5" t="s">
        <v>3866</v>
      </c>
      <c r="C338" s="237" t="s">
        <v>3867</v>
      </c>
      <c r="D338" s="238"/>
      <c r="E338" s="240" t="s">
        <v>3868</v>
      </c>
      <c r="F338" s="240"/>
      <c r="G338" s="240" t="s">
        <v>3869</v>
      </c>
      <c r="H338" s="240"/>
      <c r="I338" s="240" t="s">
        <v>3846</v>
      </c>
      <c r="J338" s="240"/>
      <c r="K338" s="240" t="s">
        <v>3870</v>
      </c>
      <c r="L338" s="240"/>
      <c r="M338" s="267"/>
    </row>
    <row r="340" spans="2:13" ht="23.25" x14ac:dyDescent="0.35">
      <c r="B340" s="29" t="s">
        <v>334</v>
      </c>
      <c r="C340" s="229" t="s">
        <v>62</v>
      </c>
      <c r="D340" s="229"/>
      <c r="E340" s="229"/>
      <c r="F340" s="229"/>
      <c r="G340" s="229"/>
      <c r="H340" s="229"/>
      <c r="I340" s="229"/>
    </row>
    <row r="341" spans="2:13" ht="18.75" x14ac:dyDescent="0.3">
      <c r="B341" s="12" t="s">
        <v>335</v>
      </c>
      <c r="C341" s="1" t="s">
        <v>3949</v>
      </c>
      <c r="F341" s="228" t="s">
        <v>427</v>
      </c>
      <c r="G341" s="228"/>
      <c r="H341" s="1" t="s">
        <v>3772</v>
      </c>
      <c r="L341" s="12" t="s">
        <v>339</v>
      </c>
      <c r="M341" s="6" t="s">
        <v>61</v>
      </c>
    </row>
    <row r="343" spans="2:13" x14ac:dyDescent="0.25">
      <c r="B343" s="2" t="s">
        <v>341</v>
      </c>
      <c r="C343" s="250" t="s">
        <v>430</v>
      </c>
      <c r="D343" s="250"/>
      <c r="E343" s="228" t="s">
        <v>345</v>
      </c>
      <c r="F343" s="228"/>
      <c r="G343" s="228"/>
      <c r="H343" s="228"/>
      <c r="I343" s="228"/>
      <c r="J343" s="228"/>
      <c r="K343" s="228"/>
    </row>
    <row r="344" spans="2:13" x14ac:dyDescent="0.25">
      <c r="B344" s="1"/>
      <c r="C344" s="1"/>
      <c r="D344" s="1"/>
    </row>
    <row r="345" spans="2:13" x14ac:dyDescent="0.25">
      <c r="B345" s="11" t="s">
        <v>1946</v>
      </c>
      <c r="C345" s="230" t="s">
        <v>3950</v>
      </c>
      <c r="D345" s="230"/>
      <c r="E345" s="14" t="s">
        <v>3951</v>
      </c>
      <c r="F345" s="14"/>
    </row>
    <row r="346" spans="2:13" x14ac:dyDescent="0.25">
      <c r="B346" s="11"/>
      <c r="C346" s="185"/>
      <c r="D346" s="185"/>
      <c r="E346" s="14" t="s">
        <v>3952</v>
      </c>
      <c r="F346" s="14"/>
    </row>
    <row r="347" spans="2:13" x14ac:dyDescent="0.25">
      <c r="B347" s="1" t="s">
        <v>1840</v>
      </c>
      <c r="C347" s="296" t="s">
        <v>508</v>
      </c>
      <c r="D347" s="296"/>
      <c r="E347" s="14" t="s">
        <v>3953</v>
      </c>
      <c r="F347" s="14"/>
    </row>
    <row r="348" spans="2:13" x14ac:dyDescent="0.25">
      <c r="B348" s="1"/>
      <c r="C348" s="195"/>
      <c r="D348" s="195"/>
      <c r="E348" s="14" t="s">
        <v>3954</v>
      </c>
      <c r="F348" s="14"/>
    </row>
    <row r="349" spans="2:13" x14ac:dyDescent="0.25">
      <c r="B349" s="11" t="s">
        <v>548</v>
      </c>
      <c r="C349" s="230" t="s">
        <v>3028</v>
      </c>
      <c r="D349" s="230"/>
      <c r="E349" s="14" t="s">
        <v>3955</v>
      </c>
      <c r="F349" s="14"/>
    </row>
    <row r="350" spans="2:13" x14ac:dyDescent="0.25">
      <c r="B350" s="11"/>
      <c r="C350" s="185"/>
      <c r="D350" s="185"/>
      <c r="E350" s="14" t="s">
        <v>3956</v>
      </c>
      <c r="F350" s="14"/>
    </row>
    <row r="351" spans="2:13" x14ac:dyDescent="0.25">
      <c r="B351" s="1" t="s">
        <v>3957</v>
      </c>
      <c r="C351" s="296" t="s">
        <v>1036</v>
      </c>
      <c r="D351" s="296"/>
      <c r="E351" s="14" t="s">
        <v>3958</v>
      </c>
      <c r="F351" s="14"/>
    </row>
    <row r="352" spans="2:13" x14ac:dyDescent="0.25">
      <c r="B352" s="1"/>
      <c r="C352" s="195"/>
      <c r="D352" s="195"/>
      <c r="E352" s="14" t="s">
        <v>3959</v>
      </c>
      <c r="F352" s="14"/>
    </row>
    <row r="353" spans="2:7" x14ac:dyDescent="0.25">
      <c r="B353" s="11" t="s">
        <v>3906</v>
      </c>
      <c r="C353" s="230" t="s">
        <v>880</v>
      </c>
      <c r="D353" s="230"/>
      <c r="E353" s="14" t="s">
        <v>3960</v>
      </c>
    </row>
    <row r="354" spans="2:7" x14ac:dyDescent="0.25">
      <c r="B354" s="11"/>
      <c r="C354" s="185"/>
      <c r="D354" s="185"/>
      <c r="E354" s="14" t="s">
        <v>3961</v>
      </c>
    </row>
    <row r="355" spans="2:7" x14ac:dyDescent="0.25">
      <c r="B355" s="1" t="s">
        <v>3962</v>
      </c>
      <c r="C355" s="296" t="s">
        <v>3963</v>
      </c>
      <c r="D355" s="296"/>
      <c r="E355" s="14"/>
    </row>
    <row r="356" spans="2:7" x14ac:dyDescent="0.25">
      <c r="B356" s="1"/>
      <c r="C356" s="195"/>
      <c r="D356" s="195"/>
      <c r="E356" s="14"/>
    </row>
    <row r="357" spans="2:7" x14ac:dyDescent="0.25">
      <c r="B357" s="11" t="s">
        <v>3964</v>
      </c>
      <c r="C357" s="230" t="s">
        <v>2103</v>
      </c>
      <c r="D357" s="230"/>
      <c r="E357" s="14"/>
    </row>
    <row r="358" spans="2:7" x14ac:dyDescent="0.25">
      <c r="B358" s="11"/>
      <c r="C358" s="185"/>
      <c r="D358" s="185"/>
      <c r="E358" s="14"/>
    </row>
    <row r="359" spans="2:7" x14ac:dyDescent="0.25">
      <c r="B359" s="1" t="s">
        <v>354</v>
      </c>
      <c r="C359" s="296" t="s">
        <v>392</v>
      </c>
      <c r="D359" s="296"/>
      <c r="E359" s="14"/>
    </row>
    <row r="360" spans="2:7" x14ac:dyDescent="0.25">
      <c r="B360" s="1"/>
      <c r="C360" s="195"/>
      <c r="D360" s="195"/>
      <c r="G360" s="14"/>
    </row>
    <row r="361" spans="2:7" x14ac:dyDescent="0.25">
      <c r="B361" s="11" t="s">
        <v>3022</v>
      </c>
      <c r="C361" s="230" t="s">
        <v>374</v>
      </c>
      <c r="D361" s="230"/>
      <c r="E361" s="14"/>
    </row>
    <row r="362" spans="2:7" x14ac:dyDescent="0.25">
      <c r="B362" s="11"/>
      <c r="C362" s="11"/>
      <c r="D362" s="11"/>
      <c r="E362" s="15"/>
      <c r="F362" s="14"/>
    </row>
    <row r="363" spans="2:7" x14ac:dyDescent="0.25">
      <c r="B363" s="1" t="s">
        <v>3965</v>
      </c>
      <c r="C363" s="296" t="s">
        <v>3966</v>
      </c>
      <c r="D363" s="296"/>
    </row>
    <row r="364" spans="2:7" x14ac:dyDescent="0.25">
      <c r="B364" s="1" t="s">
        <v>3967</v>
      </c>
      <c r="C364" s="195"/>
      <c r="D364" s="195"/>
    </row>
    <row r="365" spans="2:7" x14ac:dyDescent="0.25">
      <c r="B365" s="11" t="s">
        <v>3833</v>
      </c>
      <c r="C365" s="230" t="s">
        <v>513</v>
      </c>
      <c r="D365" s="230"/>
    </row>
    <row r="366" spans="2:7" x14ac:dyDescent="0.25">
      <c r="B366" s="11"/>
      <c r="C366" s="185"/>
      <c r="D366" s="185"/>
    </row>
    <row r="367" spans="2:7" x14ac:dyDescent="0.25">
      <c r="B367" s="1" t="s">
        <v>3836</v>
      </c>
      <c r="C367" s="296" t="s">
        <v>3835</v>
      </c>
      <c r="D367" s="296"/>
    </row>
    <row r="368" spans="2:7" x14ac:dyDescent="0.25">
      <c r="B368" s="1"/>
      <c r="C368" s="195"/>
      <c r="D368" s="195"/>
    </row>
    <row r="369" spans="2:13" x14ac:dyDescent="0.25">
      <c r="B369" s="11" t="s">
        <v>3834</v>
      </c>
      <c r="C369" s="230" t="s">
        <v>3835</v>
      </c>
      <c r="D369" s="230"/>
    </row>
    <row r="370" spans="2:13" x14ac:dyDescent="0.25">
      <c r="B370" s="11"/>
      <c r="C370" s="185"/>
      <c r="D370" s="185"/>
    </row>
    <row r="371" spans="2:13" x14ac:dyDescent="0.25">
      <c r="B371" s="32" t="s">
        <v>3728</v>
      </c>
      <c r="C371" s="288" t="s">
        <v>744</v>
      </c>
      <c r="D371" s="288"/>
    </row>
    <row r="372" spans="2:13" ht="15.75" thickBot="1" x14ac:dyDescent="0.3">
      <c r="B372" s="31"/>
      <c r="C372" s="31"/>
      <c r="D372" s="31"/>
    </row>
    <row r="373" spans="2:13" x14ac:dyDescent="0.25">
      <c r="B373" s="217" t="s">
        <v>401</v>
      </c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9"/>
    </row>
    <row r="374" spans="2:13" x14ac:dyDescent="0.25">
      <c r="B374" s="3" t="s">
        <v>402</v>
      </c>
      <c r="C374" s="232" t="s">
        <v>403</v>
      </c>
      <c r="D374" s="232"/>
      <c r="E374" s="232" t="s">
        <v>467</v>
      </c>
      <c r="F374" s="232"/>
      <c r="G374" s="232" t="s">
        <v>405</v>
      </c>
      <c r="H374" s="232"/>
      <c r="I374" s="232" t="s">
        <v>406</v>
      </c>
      <c r="J374" s="232"/>
      <c r="K374" s="234" t="s">
        <v>468</v>
      </c>
      <c r="L374" s="235"/>
      <c r="M374" s="236"/>
    </row>
    <row r="375" spans="2:13" ht="15.75" thickBot="1" x14ac:dyDescent="0.3">
      <c r="B375" s="5">
        <v>0.25</v>
      </c>
      <c r="C375" s="237">
        <v>1.25</v>
      </c>
      <c r="D375" s="238"/>
      <c r="E375" s="239"/>
      <c r="F375" s="238"/>
      <c r="G375" s="240"/>
      <c r="H375" s="240"/>
      <c r="I375" s="241"/>
      <c r="J375" s="241"/>
      <c r="K375" s="242"/>
      <c r="L375" s="243"/>
      <c r="M375" s="244"/>
    </row>
    <row r="376" spans="2:13" ht="15.75" thickBot="1" x14ac:dyDescent="0.3">
      <c r="B376" s="1"/>
      <c r="C376" s="1"/>
      <c r="D376" s="1"/>
      <c r="E376" s="1"/>
      <c r="F376" s="1"/>
      <c r="G376" s="1"/>
      <c r="H376" s="1"/>
    </row>
    <row r="377" spans="2:13" x14ac:dyDescent="0.25">
      <c r="B377" s="217" t="s">
        <v>408</v>
      </c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9"/>
    </row>
    <row r="378" spans="2:13" x14ac:dyDescent="0.25">
      <c r="B378" s="3" t="s">
        <v>3113</v>
      </c>
      <c r="C378" s="232" t="s">
        <v>3968</v>
      </c>
      <c r="D378" s="232"/>
      <c r="E378" s="268" t="s">
        <v>3969</v>
      </c>
      <c r="F378" s="268"/>
      <c r="G378" s="268" t="s">
        <v>3970</v>
      </c>
      <c r="H378" s="268"/>
      <c r="I378" s="232" t="s">
        <v>3971</v>
      </c>
      <c r="J378" s="232"/>
      <c r="K378" s="232" t="s">
        <v>2198</v>
      </c>
      <c r="L378" s="232"/>
      <c r="M378" s="269"/>
    </row>
    <row r="379" spans="2:13" ht="15.75" thickBot="1" x14ac:dyDescent="0.3">
      <c r="B379" s="5" t="s">
        <v>3918</v>
      </c>
      <c r="C379" s="237" t="s">
        <v>3972</v>
      </c>
      <c r="D379" s="238"/>
      <c r="E379" s="240" t="s">
        <v>3973</v>
      </c>
      <c r="F379" s="240"/>
      <c r="G379" s="240" t="s">
        <v>3974</v>
      </c>
      <c r="H379" s="240"/>
      <c r="I379" s="240" t="s">
        <v>3975</v>
      </c>
      <c r="J379" s="240"/>
      <c r="K379" s="240" t="s">
        <v>3976</v>
      </c>
      <c r="L379" s="240"/>
      <c r="M379" s="267"/>
    </row>
    <row r="381" spans="2:13" ht="23.25" x14ac:dyDescent="0.35">
      <c r="B381" s="29" t="s">
        <v>334</v>
      </c>
      <c r="C381" s="229" t="s">
        <v>12</v>
      </c>
      <c r="D381" s="229"/>
      <c r="E381" s="229"/>
      <c r="F381" s="229"/>
      <c r="G381" s="229"/>
    </row>
    <row r="382" spans="2:13" ht="18.75" x14ac:dyDescent="0.3">
      <c r="B382" s="12" t="s">
        <v>335</v>
      </c>
      <c r="C382" s="1" t="s">
        <v>2</v>
      </c>
      <c r="D382" s="228" t="s">
        <v>427</v>
      </c>
      <c r="E382" s="228"/>
      <c r="F382" s="1" t="s">
        <v>2618</v>
      </c>
      <c r="L382" s="12" t="s">
        <v>339</v>
      </c>
      <c r="M382" s="6" t="s">
        <v>11</v>
      </c>
    </row>
    <row r="384" spans="2:13" x14ac:dyDescent="0.25">
      <c r="B384" s="2" t="s">
        <v>341</v>
      </c>
      <c r="C384" s="250" t="s">
        <v>429</v>
      </c>
      <c r="D384" s="250"/>
      <c r="E384" s="250" t="s">
        <v>430</v>
      </c>
      <c r="F384" s="250"/>
      <c r="G384" s="228" t="s">
        <v>345</v>
      </c>
      <c r="H384" s="228"/>
      <c r="I384" s="228"/>
      <c r="J384" s="228"/>
      <c r="K384" s="228"/>
      <c r="L384" s="228"/>
      <c r="M384" s="228"/>
    </row>
    <row r="386" spans="2:8" x14ac:dyDescent="0.25">
      <c r="B386" s="11" t="s">
        <v>3977</v>
      </c>
      <c r="C386" s="252" t="s">
        <v>3978</v>
      </c>
      <c r="D386" s="252"/>
      <c r="E386" s="252" t="s">
        <v>3979</v>
      </c>
      <c r="F386" s="252"/>
      <c r="G386" s="14" t="s">
        <v>3980</v>
      </c>
      <c r="H386" s="14"/>
    </row>
    <row r="387" spans="2:8" x14ac:dyDescent="0.25">
      <c r="B387" s="11" t="s">
        <v>3981</v>
      </c>
      <c r="C387" s="188"/>
      <c r="D387" s="188"/>
      <c r="E387" s="188"/>
      <c r="F387" s="188"/>
      <c r="G387" s="14" t="s">
        <v>3982</v>
      </c>
      <c r="H387" s="14"/>
    </row>
    <row r="388" spans="2:8" x14ac:dyDescent="0.25">
      <c r="B388" s="1" t="s">
        <v>3742</v>
      </c>
      <c r="C388" s="290" t="s">
        <v>1847</v>
      </c>
      <c r="D388" s="290"/>
      <c r="E388" s="290" t="s">
        <v>3983</v>
      </c>
      <c r="F388" s="290"/>
      <c r="G388" s="14" t="s">
        <v>3984</v>
      </c>
      <c r="H388" s="14"/>
    </row>
    <row r="389" spans="2:8" x14ac:dyDescent="0.25">
      <c r="B389" s="1"/>
      <c r="C389" s="189"/>
      <c r="D389" s="189"/>
      <c r="E389" s="189"/>
      <c r="F389" s="189"/>
      <c r="G389" s="14" t="s">
        <v>3985</v>
      </c>
      <c r="H389" s="14"/>
    </row>
    <row r="390" spans="2:8" x14ac:dyDescent="0.25">
      <c r="B390" s="11" t="s">
        <v>859</v>
      </c>
      <c r="C390" s="252" t="s">
        <v>790</v>
      </c>
      <c r="D390" s="252"/>
      <c r="E390" s="323" t="s">
        <v>1037</v>
      </c>
      <c r="F390" s="323"/>
      <c r="G390" s="14" t="s">
        <v>3986</v>
      </c>
      <c r="H390" s="14"/>
    </row>
    <row r="391" spans="2:8" x14ac:dyDescent="0.25">
      <c r="B391" s="11"/>
      <c r="C391" s="188"/>
      <c r="D391" s="188"/>
      <c r="E391" s="188"/>
      <c r="F391" s="188"/>
      <c r="G391" s="14" t="s">
        <v>3987</v>
      </c>
      <c r="H391" s="14"/>
    </row>
    <row r="392" spans="2:8" x14ac:dyDescent="0.25">
      <c r="B392" s="1" t="s">
        <v>3988</v>
      </c>
      <c r="C392" s="290" t="s">
        <v>3989</v>
      </c>
      <c r="D392" s="290"/>
      <c r="E392" s="290" t="s">
        <v>1036</v>
      </c>
      <c r="F392" s="290"/>
      <c r="G392" s="14" t="s">
        <v>3990</v>
      </c>
      <c r="H392" s="14"/>
    </row>
    <row r="393" spans="2:8" x14ac:dyDescent="0.25">
      <c r="B393" s="1"/>
      <c r="C393" s="189"/>
      <c r="D393" s="189"/>
      <c r="E393" s="189"/>
      <c r="F393" s="189"/>
      <c r="G393" s="14"/>
      <c r="H393" s="14"/>
    </row>
    <row r="394" spans="2:8" x14ac:dyDescent="0.25">
      <c r="B394" s="11" t="s">
        <v>3991</v>
      </c>
      <c r="C394" s="252" t="s">
        <v>549</v>
      </c>
      <c r="D394" s="252"/>
      <c r="E394" s="252" t="s">
        <v>881</v>
      </c>
      <c r="F394" s="252"/>
      <c r="G394" s="14"/>
      <c r="H394" s="14"/>
    </row>
    <row r="395" spans="2:8" x14ac:dyDescent="0.25">
      <c r="B395" s="11"/>
      <c r="C395" s="188"/>
      <c r="D395" s="188"/>
      <c r="E395" s="188"/>
      <c r="F395" s="188"/>
      <c r="G395" s="14"/>
      <c r="H395" s="14"/>
    </row>
    <row r="396" spans="2:8" x14ac:dyDescent="0.25">
      <c r="B396" s="1" t="s">
        <v>3727</v>
      </c>
      <c r="C396" s="290" t="s">
        <v>3835</v>
      </c>
      <c r="D396" s="290"/>
      <c r="E396" s="290" t="s">
        <v>516</v>
      </c>
      <c r="F396" s="290"/>
      <c r="G396" s="14"/>
      <c r="H396" s="14"/>
    </row>
    <row r="397" spans="2:8" x14ac:dyDescent="0.25">
      <c r="B397" s="1"/>
      <c r="C397" s="189"/>
      <c r="D397" s="189"/>
      <c r="E397" s="189"/>
      <c r="F397" s="189"/>
      <c r="G397" s="14"/>
      <c r="H397" s="14"/>
    </row>
    <row r="398" spans="2:8" x14ac:dyDescent="0.25">
      <c r="B398" s="11" t="s">
        <v>848</v>
      </c>
      <c r="C398" s="252" t="s">
        <v>374</v>
      </c>
      <c r="D398" s="252"/>
      <c r="E398" s="252" t="s">
        <v>1194</v>
      </c>
      <c r="F398" s="252"/>
      <c r="G398" s="14"/>
      <c r="H398" s="14"/>
    </row>
    <row r="399" spans="2:8" x14ac:dyDescent="0.25">
      <c r="B399" s="11"/>
      <c r="C399" s="188"/>
      <c r="D399" s="188"/>
      <c r="E399" s="188"/>
      <c r="F399" s="188"/>
      <c r="G399" s="14"/>
      <c r="H399" s="14"/>
    </row>
    <row r="400" spans="2:8" x14ac:dyDescent="0.25">
      <c r="B400" s="1" t="s">
        <v>518</v>
      </c>
      <c r="C400" s="290" t="s">
        <v>2062</v>
      </c>
      <c r="D400" s="290"/>
      <c r="E400" s="290" t="s">
        <v>3835</v>
      </c>
      <c r="F400" s="290"/>
      <c r="G400" s="14"/>
      <c r="H400" s="14"/>
    </row>
    <row r="401" spans="2:13" x14ac:dyDescent="0.25">
      <c r="B401" s="1"/>
      <c r="C401" s="189"/>
      <c r="D401" s="189"/>
      <c r="E401" s="189"/>
      <c r="F401" s="189"/>
      <c r="G401" s="14"/>
      <c r="H401" s="14"/>
    </row>
    <row r="402" spans="2:13" x14ac:dyDescent="0.25">
      <c r="B402" s="11" t="s">
        <v>1723</v>
      </c>
      <c r="C402" s="252" t="s">
        <v>398</v>
      </c>
      <c r="D402" s="252"/>
      <c r="E402" s="252" t="s">
        <v>1208</v>
      </c>
      <c r="F402" s="252"/>
      <c r="G402" s="14"/>
      <c r="H402" s="14"/>
    </row>
    <row r="403" spans="2:13" x14ac:dyDescent="0.25">
      <c r="B403" s="11"/>
      <c r="C403" s="13"/>
      <c r="D403" s="13"/>
      <c r="E403" s="13"/>
      <c r="F403" s="13"/>
      <c r="G403" s="14"/>
      <c r="H403" s="14"/>
    </row>
    <row r="404" spans="2:13" x14ac:dyDescent="0.25">
      <c r="B404" s="1" t="s">
        <v>3992</v>
      </c>
      <c r="C404" s="253" t="s">
        <v>678</v>
      </c>
      <c r="D404" s="253"/>
      <c r="E404" s="253" t="s">
        <v>524</v>
      </c>
      <c r="F404" s="253"/>
      <c r="G404" s="14"/>
      <c r="H404" s="14"/>
    </row>
    <row r="405" spans="2:13" x14ac:dyDescent="0.25">
      <c r="B405" s="1"/>
      <c r="C405" s="14"/>
      <c r="D405" s="14"/>
      <c r="E405" s="14"/>
      <c r="F405" s="14"/>
      <c r="G405" s="14"/>
      <c r="H405" s="14"/>
    </row>
    <row r="406" spans="2:13" x14ac:dyDescent="0.25">
      <c r="B406" s="11" t="s">
        <v>3993</v>
      </c>
      <c r="C406" s="252" t="s">
        <v>508</v>
      </c>
      <c r="D406" s="252"/>
      <c r="E406" s="252" t="s">
        <v>390</v>
      </c>
      <c r="F406" s="252"/>
      <c r="G406" s="14"/>
      <c r="H406" s="14"/>
    </row>
    <row r="407" spans="2:13" x14ac:dyDescent="0.25">
      <c r="B407" s="11"/>
      <c r="C407" s="8"/>
      <c r="D407" s="8"/>
      <c r="E407" s="8"/>
      <c r="F407" s="8"/>
      <c r="G407" s="15"/>
    </row>
    <row r="408" spans="2:13" ht="15.75" thickBot="1" x14ac:dyDescent="0.3">
      <c r="B408" s="24"/>
      <c r="C408" s="24"/>
      <c r="D408" s="24"/>
      <c r="E408" s="24"/>
      <c r="F408" s="24"/>
      <c r="G408" s="15"/>
    </row>
    <row r="409" spans="2:13" x14ac:dyDescent="0.25">
      <c r="B409" s="217" t="s">
        <v>401</v>
      </c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9"/>
    </row>
    <row r="410" spans="2:13" x14ac:dyDescent="0.25">
      <c r="B410" s="3" t="s">
        <v>402</v>
      </c>
      <c r="C410" s="232" t="s">
        <v>403</v>
      </c>
      <c r="D410" s="232"/>
      <c r="E410" s="232" t="s">
        <v>467</v>
      </c>
      <c r="F410" s="232"/>
      <c r="G410" s="232" t="s">
        <v>405</v>
      </c>
      <c r="H410" s="232"/>
      <c r="I410" s="232" t="s">
        <v>406</v>
      </c>
      <c r="J410" s="232"/>
      <c r="K410" s="234" t="s">
        <v>468</v>
      </c>
      <c r="L410" s="235"/>
      <c r="M410" s="236"/>
    </row>
    <row r="411" spans="2:13" ht="15.75" thickBot="1" x14ac:dyDescent="0.3">
      <c r="B411" s="5">
        <v>1</v>
      </c>
      <c r="C411" s="237">
        <v>1</v>
      </c>
      <c r="D411" s="238"/>
      <c r="E411" s="239"/>
      <c r="F411" s="238"/>
      <c r="G411" s="240"/>
      <c r="H411" s="240"/>
      <c r="I411" s="241"/>
      <c r="J411" s="241"/>
      <c r="K411" s="242"/>
      <c r="L411" s="243"/>
      <c r="M411" s="244"/>
    </row>
    <row r="412" spans="2:13" ht="15.75" thickBot="1" x14ac:dyDescent="0.3">
      <c r="B412" s="1"/>
      <c r="C412" s="1"/>
      <c r="D412" s="1"/>
      <c r="E412" s="1"/>
      <c r="F412" s="1"/>
      <c r="G412" s="1"/>
      <c r="H412" s="1"/>
    </row>
    <row r="413" spans="2:13" x14ac:dyDescent="0.25">
      <c r="B413" s="217" t="s">
        <v>408</v>
      </c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9"/>
    </row>
    <row r="414" spans="2:13" x14ac:dyDescent="0.25">
      <c r="B414" s="3" t="s">
        <v>3994</v>
      </c>
      <c r="C414" s="232" t="s">
        <v>3995</v>
      </c>
      <c r="D414" s="232"/>
      <c r="E414" s="268" t="s">
        <v>3996</v>
      </c>
      <c r="F414" s="268"/>
      <c r="G414" s="268" t="s">
        <v>3997</v>
      </c>
      <c r="H414" s="268"/>
      <c r="I414" s="232" t="s">
        <v>3998</v>
      </c>
      <c r="J414" s="232"/>
      <c r="K414" s="232" t="s">
        <v>3999</v>
      </c>
      <c r="L414" s="232"/>
      <c r="M414" s="269"/>
    </row>
    <row r="415" spans="2:13" ht="15.75" thickBot="1" x14ac:dyDescent="0.3">
      <c r="B415" s="5" t="s">
        <v>4000</v>
      </c>
      <c r="C415" s="237" t="s">
        <v>4001</v>
      </c>
      <c r="D415" s="238"/>
      <c r="E415" s="240" t="s">
        <v>4002</v>
      </c>
      <c r="F415" s="240"/>
      <c r="G415" s="240" t="s">
        <v>4003</v>
      </c>
      <c r="H415" s="240"/>
      <c r="I415" s="240" t="s">
        <v>4004</v>
      </c>
      <c r="J415" s="240"/>
      <c r="K415" s="240" t="s">
        <v>4005</v>
      </c>
      <c r="L415" s="240"/>
      <c r="M415" s="267"/>
    </row>
    <row r="417" spans="2:13" ht="23.25" x14ac:dyDescent="0.35">
      <c r="B417" s="29" t="s">
        <v>334</v>
      </c>
      <c r="C417" s="229" t="s">
        <v>22</v>
      </c>
      <c r="D417" s="229"/>
      <c r="E417" s="229"/>
      <c r="F417" s="229"/>
      <c r="G417" s="229"/>
      <c r="H417" s="229"/>
      <c r="I417" s="229"/>
    </row>
    <row r="418" spans="2:13" ht="18.75" x14ac:dyDescent="0.3">
      <c r="B418" s="12" t="s">
        <v>335</v>
      </c>
      <c r="C418" s="1" t="s">
        <v>2</v>
      </c>
      <c r="D418" s="228" t="s">
        <v>427</v>
      </c>
      <c r="E418" s="228"/>
      <c r="F418" s="1" t="s">
        <v>4006</v>
      </c>
      <c r="L418" s="12" t="s">
        <v>339</v>
      </c>
      <c r="M418" s="6" t="s">
        <v>21</v>
      </c>
    </row>
    <row r="420" spans="2:13" x14ac:dyDescent="0.25">
      <c r="B420" s="2" t="s">
        <v>341</v>
      </c>
      <c r="C420" s="250" t="s">
        <v>429</v>
      </c>
      <c r="D420" s="250"/>
      <c r="E420" s="250" t="s">
        <v>430</v>
      </c>
      <c r="F420" s="250"/>
      <c r="G420" s="228" t="s">
        <v>345</v>
      </c>
      <c r="H420" s="228"/>
      <c r="I420" s="228"/>
      <c r="J420" s="228"/>
      <c r="K420" s="228"/>
      <c r="L420" s="228"/>
      <c r="M420" s="228"/>
    </row>
    <row r="422" spans="2:13" x14ac:dyDescent="0.25">
      <c r="B422" s="11" t="s">
        <v>2879</v>
      </c>
      <c r="C422" s="252" t="s">
        <v>1443</v>
      </c>
      <c r="D422" s="252"/>
      <c r="E422" s="252" t="s">
        <v>1445</v>
      </c>
      <c r="F422" s="252"/>
      <c r="G422" s="14" t="s">
        <v>4007</v>
      </c>
      <c r="H422" s="14"/>
    </row>
    <row r="423" spans="2:13" x14ac:dyDescent="0.25">
      <c r="B423" s="11"/>
      <c r="C423" s="188"/>
      <c r="D423" s="188"/>
      <c r="E423" s="188"/>
      <c r="F423" s="188"/>
      <c r="G423" s="14" t="s">
        <v>4008</v>
      </c>
      <c r="H423" s="14"/>
    </row>
    <row r="424" spans="2:13" x14ac:dyDescent="0.25">
      <c r="B424" s="1" t="s">
        <v>354</v>
      </c>
      <c r="C424" s="290" t="s">
        <v>4009</v>
      </c>
      <c r="D424" s="290"/>
      <c r="E424" s="290" t="s">
        <v>4010</v>
      </c>
      <c r="F424" s="290"/>
      <c r="G424" s="14" t="s">
        <v>4011</v>
      </c>
      <c r="H424" s="14"/>
    </row>
    <row r="425" spans="2:13" x14ac:dyDescent="0.25">
      <c r="B425" s="1"/>
      <c r="C425" s="189"/>
      <c r="D425" s="189"/>
      <c r="E425" s="189"/>
      <c r="F425" s="189"/>
      <c r="G425" s="14" t="s">
        <v>4012</v>
      </c>
      <c r="H425" s="14"/>
    </row>
    <row r="426" spans="2:13" x14ac:dyDescent="0.25">
      <c r="B426" s="11" t="s">
        <v>4013</v>
      </c>
      <c r="C426" s="252" t="s">
        <v>3647</v>
      </c>
      <c r="D426" s="252"/>
      <c r="E426" s="323" t="s">
        <v>3648</v>
      </c>
      <c r="F426" s="323"/>
      <c r="G426" s="14" t="s">
        <v>4014</v>
      </c>
      <c r="H426" s="14"/>
    </row>
    <row r="427" spans="2:13" x14ac:dyDescent="0.25">
      <c r="B427" s="11" t="s">
        <v>4015</v>
      </c>
      <c r="C427" s="188"/>
      <c r="D427" s="188"/>
      <c r="E427" s="188"/>
      <c r="F427" s="188"/>
      <c r="G427" s="14" t="s">
        <v>4016</v>
      </c>
      <c r="H427" s="14"/>
    </row>
    <row r="428" spans="2:13" x14ac:dyDescent="0.25">
      <c r="B428" s="1" t="s">
        <v>548</v>
      </c>
      <c r="C428" s="290" t="s">
        <v>516</v>
      </c>
      <c r="D428" s="290"/>
      <c r="E428" s="290" t="s">
        <v>513</v>
      </c>
      <c r="F428" s="290"/>
      <c r="G428" s="14" t="s">
        <v>4017</v>
      </c>
      <c r="H428" s="14"/>
    </row>
    <row r="429" spans="2:13" x14ac:dyDescent="0.25">
      <c r="B429" s="1"/>
      <c r="C429" s="189"/>
      <c r="D429" s="189"/>
      <c r="E429" s="189"/>
      <c r="F429" s="189"/>
      <c r="G429" s="14" t="s">
        <v>4018</v>
      </c>
      <c r="H429" s="14"/>
    </row>
    <row r="430" spans="2:13" x14ac:dyDescent="0.25">
      <c r="B430" s="11" t="s">
        <v>4019</v>
      </c>
      <c r="C430" s="252" t="s">
        <v>4020</v>
      </c>
      <c r="D430" s="252"/>
      <c r="E430" s="252" t="s">
        <v>2493</v>
      </c>
      <c r="F430" s="252"/>
      <c r="G430" s="14" t="s">
        <v>4021</v>
      </c>
      <c r="H430" s="14"/>
    </row>
    <row r="431" spans="2:13" x14ac:dyDescent="0.25">
      <c r="B431" s="11"/>
      <c r="C431" s="188"/>
      <c r="D431" s="188"/>
      <c r="E431" s="188"/>
      <c r="F431" s="188"/>
      <c r="G431" s="14" t="s">
        <v>4022</v>
      </c>
      <c r="H431" s="14"/>
    </row>
    <row r="432" spans="2:13" x14ac:dyDescent="0.25">
      <c r="B432" s="1" t="s">
        <v>4023</v>
      </c>
      <c r="C432" s="290" t="s">
        <v>4024</v>
      </c>
      <c r="D432" s="290"/>
      <c r="E432" s="290" t="s">
        <v>2618</v>
      </c>
      <c r="F432" s="290"/>
      <c r="G432" s="14" t="s">
        <v>4025</v>
      </c>
      <c r="H432" s="14"/>
    </row>
    <row r="433" spans="2:13" x14ac:dyDescent="0.25">
      <c r="B433" s="1"/>
      <c r="C433" s="189"/>
      <c r="D433" s="189"/>
      <c r="E433" s="189"/>
      <c r="F433" s="189"/>
      <c r="G433" s="14"/>
      <c r="H433" s="14"/>
    </row>
    <row r="434" spans="2:13" x14ac:dyDescent="0.25">
      <c r="B434" s="11" t="s">
        <v>4026</v>
      </c>
      <c r="C434" s="252" t="s">
        <v>4027</v>
      </c>
      <c r="D434" s="252"/>
      <c r="E434" s="252" t="s">
        <v>4028</v>
      </c>
      <c r="F434" s="252"/>
      <c r="G434" s="14"/>
      <c r="H434" s="14"/>
    </row>
    <row r="435" spans="2:13" x14ac:dyDescent="0.25">
      <c r="B435" s="11"/>
      <c r="C435" s="188"/>
      <c r="D435" s="188"/>
      <c r="E435" s="188"/>
      <c r="F435" s="188"/>
      <c r="G435" s="14"/>
      <c r="H435" s="14"/>
    </row>
    <row r="436" spans="2:13" x14ac:dyDescent="0.25">
      <c r="B436" s="1" t="s">
        <v>3991</v>
      </c>
      <c r="C436" s="290" t="s">
        <v>3910</v>
      </c>
      <c r="D436" s="290"/>
      <c r="E436" s="290" t="s">
        <v>661</v>
      </c>
      <c r="F436" s="290"/>
      <c r="G436" s="14"/>
      <c r="H436" s="14"/>
    </row>
    <row r="437" spans="2:13" x14ac:dyDescent="0.25">
      <c r="B437" s="1"/>
      <c r="C437" s="189"/>
      <c r="D437" s="189"/>
      <c r="E437" s="189"/>
      <c r="F437" s="189"/>
      <c r="G437" s="14"/>
      <c r="H437" s="14"/>
    </row>
    <row r="438" spans="2:13" x14ac:dyDescent="0.25">
      <c r="B438" s="11" t="s">
        <v>4029</v>
      </c>
      <c r="C438" s="252" t="s">
        <v>2618</v>
      </c>
      <c r="D438" s="252"/>
      <c r="E438" s="252" t="s">
        <v>3438</v>
      </c>
      <c r="F438" s="252"/>
      <c r="G438" s="14"/>
      <c r="H438" s="14"/>
    </row>
    <row r="439" spans="2:13" x14ac:dyDescent="0.25">
      <c r="B439" s="11"/>
      <c r="C439" s="13"/>
      <c r="D439" s="13"/>
      <c r="E439" s="13"/>
      <c r="F439" s="13"/>
      <c r="G439" s="14"/>
      <c r="H439" s="14"/>
    </row>
    <row r="440" spans="2:13" x14ac:dyDescent="0.25">
      <c r="B440" s="1" t="s">
        <v>1710</v>
      </c>
      <c r="C440" s="253" t="s">
        <v>390</v>
      </c>
      <c r="D440" s="253"/>
      <c r="E440" s="253" t="s">
        <v>392</v>
      </c>
      <c r="F440" s="253"/>
      <c r="G440" s="14"/>
      <c r="H440" s="14"/>
    </row>
    <row r="441" spans="2:13" x14ac:dyDescent="0.25">
      <c r="B441" s="1"/>
      <c r="C441" s="14"/>
      <c r="D441" s="14"/>
      <c r="E441" s="14"/>
      <c r="F441" s="14"/>
      <c r="G441" s="14"/>
      <c r="H441" s="14"/>
    </row>
    <row r="442" spans="2:13" x14ac:dyDescent="0.25">
      <c r="B442" s="11" t="s">
        <v>4030</v>
      </c>
      <c r="C442" s="252" t="s">
        <v>3648</v>
      </c>
      <c r="D442" s="252"/>
      <c r="E442" s="252" t="s">
        <v>4031</v>
      </c>
      <c r="F442" s="252"/>
      <c r="G442" s="14"/>
      <c r="H442" s="14"/>
    </row>
    <row r="443" spans="2:13" x14ac:dyDescent="0.25">
      <c r="B443" s="11"/>
      <c r="C443" s="8"/>
      <c r="D443" s="8"/>
      <c r="E443" s="8"/>
      <c r="F443" s="8"/>
      <c r="G443" s="15"/>
    </row>
    <row r="444" spans="2:13" x14ac:dyDescent="0.25">
      <c r="B444" s="32" t="s">
        <v>4032</v>
      </c>
      <c r="C444" s="255" t="s">
        <v>4033</v>
      </c>
      <c r="D444" s="255"/>
      <c r="E444" s="255" t="s">
        <v>520</v>
      </c>
      <c r="F444" s="255"/>
      <c r="G444" s="15"/>
    </row>
    <row r="445" spans="2:13" ht="15.75" thickBot="1" x14ac:dyDescent="0.3">
      <c r="B445" s="24"/>
      <c r="C445" s="24"/>
      <c r="D445" s="24"/>
      <c r="E445" s="24"/>
      <c r="F445" s="24"/>
      <c r="G445" s="15"/>
    </row>
    <row r="446" spans="2:13" x14ac:dyDescent="0.25">
      <c r="B446" s="217" t="s">
        <v>401</v>
      </c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9"/>
    </row>
    <row r="447" spans="2:13" x14ac:dyDescent="0.25">
      <c r="B447" s="3" t="s">
        <v>402</v>
      </c>
      <c r="C447" s="232" t="s">
        <v>403</v>
      </c>
      <c r="D447" s="232"/>
      <c r="E447" s="232" t="s">
        <v>467</v>
      </c>
      <c r="F447" s="232"/>
      <c r="G447" s="232" t="s">
        <v>405</v>
      </c>
      <c r="H447" s="232"/>
      <c r="I447" s="232" t="s">
        <v>406</v>
      </c>
      <c r="J447" s="232"/>
      <c r="K447" s="234" t="s">
        <v>468</v>
      </c>
      <c r="L447" s="235"/>
      <c r="M447" s="236"/>
    </row>
    <row r="448" spans="2:13" ht="15.75" thickBot="1" x14ac:dyDescent="0.3">
      <c r="B448" s="5"/>
      <c r="C448" s="237">
        <v>0.75</v>
      </c>
      <c r="D448" s="238"/>
      <c r="E448" s="239"/>
      <c r="F448" s="238"/>
      <c r="G448" s="240"/>
      <c r="H448" s="240"/>
      <c r="I448" s="241"/>
      <c r="J448" s="241"/>
      <c r="K448" s="242"/>
      <c r="L448" s="243"/>
      <c r="M448" s="244"/>
    </row>
    <row r="449" spans="2:13" ht="15.75" thickBot="1" x14ac:dyDescent="0.3">
      <c r="B449" s="1"/>
      <c r="C449" s="1"/>
      <c r="D449" s="1"/>
      <c r="E449" s="1"/>
      <c r="F449" s="1"/>
      <c r="G449" s="1"/>
      <c r="H449" s="1"/>
    </row>
    <row r="450" spans="2:13" x14ac:dyDescent="0.25">
      <c r="B450" s="217" t="s">
        <v>408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9"/>
    </row>
    <row r="451" spans="2:13" x14ac:dyDescent="0.25">
      <c r="B451" s="3" t="s">
        <v>4034</v>
      </c>
      <c r="C451" s="232" t="s">
        <v>4035</v>
      </c>
      <c r="D451" s="232"/>
      <c r="E451" s="268" t="s">
        <v>4036</v>
      </c>
      <c r="F451" s="268"/>
      <c r="G451" s="268" t="s">
        <v>692</v>
      </c>
      <c r="H451" s="268"/>
      <c r="I451" s="232" t="s">
        <v>4037</v>
      </c>
      <c r="J451" s="232"/>
      <c r="K451" s="232" t="s">
        <v>4038</v>
      </c>
      <c r="L451" s="232"/>
      <c r="M451" s="269"/>
    </row>
    <row r="452" spans="2:13" ht="15.75" thickBot="1" x14ac:dyDescent="0.3">
      <c r="B452" s="5" t="s">
        <v>935</v>
      </c>
      <c r="C452" s="237" t="s">
        <v>4039</v>
      </c>
      <c r="D452" s="238"/>
      <c r="E452" s="240" t="s">
        <v>4040</v>
      </c>
      <c r="F452" s="240"/>
      <c r="G452" s="240" t="s">
        <v>4041</v>
      </c>
      <c r="H452" s="240"/>
      <c r="I452" s="240" t="s">
        <v>4042</v>
      </c>
      <c r="J452" s="240"/>
      <c r="K452" s="240" t="s">
        <v>4043</v>
      </c>
      <c r="L452" s="240"/>
      <c r="M452" s="267"/>
    </row>
    <row r="454" spans="2:13" ht="23.25" x14ac:dyDescent="0.35">
      <c r="B454" s="29" t="s">
        <v>334</v>
      </c>
      <c r="C454" s="229" t="s">
        <v>27</v>
      </c>
      <c r="D454" s="229"/>
      <c r="E454" s="229"/>
      <c r="F454" s="229"/>
      <c r="G454" s="229"/>
      <c r="H454" s="229"/>
      <c r="I454" s="229"/>
      <c r="J454" s="229"/>
      <c r="K454" s="229"/>
      <c r="L454" s="229"/>
    </row>
    <row r="455" spans="2:13" ht="18.75" x14ac:dyDescent="0.3">
      <c r="B455" s="12" t="s">
        <v>335</v>
      </c>
      <c r="C455" s="1" t="s">
        <v>2</v>
      </c>
      <c r="D455" s="228" t="s">
        <v>427</v>
      </c>
      <c r="E455" s="228"/>
      <c r="F455" s="1" t="s">
        <v>4044</v>
      </c>
      <c r="L455" s="12" t="s">
        <v>339</v>
      </c>
      <c r="M455" s="6" t="s">
        <v>26</v>
      </c>
    </row>
    <row r="457" spans="2:13" x14ac:dyDescent="0.25">
      <c r="B457" s="2" t="s">
        <v>341</v>
      </c>
      <c r="C457" s="250" t="s">
        <v>4045</v>
      </c>
      <c r="D457" s="250"/>
      <c r="E457" s="250" t="s">
        <v>3773</v>
      </c>
      <c r="F457" s="250"/>
      <c r="G457" s="228" t="s">
        <v>345</v>
      </c>
      <c r="H457" s="228"/>
      <c r="I457" s="228"/>
      <c r="J457" s="228"/>
      <c r="K457" s="228"/>
      <c r="L457" s="228"/>
      <c r="M457" s="228"/>
    </row>
    <row r="459" spans="2:13" x14ac:dyDescent="0.25">
      <c r="B459" s="11" t="s">
        <v>1946</v>
      </c>
      <c r="C459" s="252" t="s">
        <v>4046</v>
      </c>
      <c r="D459" s="252"/>
      <c r="E459" s="252" t="s">
        <v>1042</v>
      </c>
      <c r="F459" s="252"/>
      <c r="G459" s="14" t="s">
        <v>4047</v>
      </c>
      <c r="H459" s="14"/>
    </row>
    <row r="460" spans="2:13" x14ac:dyDescent="0.25">
      <c r="B460" s="11"/>
      <c r="C460" s="252"/>
      <c r="D460" s="252"/>
      <c r="E460" s="188"/>
      <c r="F460" s="188"/>
      <c r="G460" s="14" t="s">
        <v>4048</v>
      </c>
      <c r="H460" s="14"/>
    </row>
    <row r="461" spans="2:13" x14ac:dyDescent="0.25">
      <c r="B461" s="1" t="s">
        <v>4049</v>
      </c>
      <c r="C461" s="253" t="s">
        <v>395</v>
      </c>
      <c r="D461" s="253"/>
      <c r="E461" s="290" t="s">
        <v>383</v>
      </c>
      <c r="F461" s="290"/>
      <c r="G461" s="14" t="s">
        <v>4050</v>
      </c>
      <c r="H461" s="14"/>
    </row>
    <row r="462" spans="2:13" x14ac:dyDescent="0.25">
      <c r="B462" s="1" t="s">
        <v>4051</v>
      </c>
      <c r="C462" s="253"/>
      <c r="D462" s="253"/>
      <c r="E462" s="189"/>
      <c r="F462" s="189"/>
      <c r="G462" s="14" t="s">
        <v>4052</v>
      </c>
      <c r="H462" s="14"/>
    </row>
    <row r="463" spans="2:13" x14ac:dyDescent="0.25">
      <c r="B463" s="11" t="s">
        <v>3906</v>
      </c>
      <c r="C463" s="252" t="s">
        <v>1295</v>
      </c>
      <c r="D463" s="252"/>
      <c r="E463" s="323" t="s">
        <v>1127</v>
      </c>
      <c r="F463" s="323"/>
      <c r="G463" s="14" t="s">
        <v>4053</v>
      </c>
      <c r="H463" s="14"/>
    </row>
    <row r="464" spans="2:13" x14ac:dyDescent="0.25">
      <c r="B464" s="11"/>
      <c r="C464" s="188"/>
      <c r="D464" s="188"/>
      <c r="E464" s="188"/>
      <c r="F464" s="188"/>
      <c r="G464" s="14" t="s">
        <v>4054</v>
      </c>
      <c r="H464" s="14"/>
    </row>
    <row r="465" spans="2:8" x14ac:dyDescent="0.25">
      <c r="B465" s="1" t="s">
        <v>4055</v>
      </c>
      <c r="C465" s="253" t="s">
        <v>1295</v>
      </c>
      <c r="D465" s="253"/>
      <c r="E465" s="290" t="s">
        <v>1127</v>
      </c>
      <c r="F465" s="290"/>
      <c r="G465" s="14" t="s">
        <v>4056</v>
      </c>
      <c r="H465" s="14"/>
    </row>
    <row r="466" spans="2:8" x14ac:dyDescent="0.25">
      <c r="B466" s="1"/>
      <c r="C466" s="189"/>
      <c r="D466" s="189"/>
      <c r="E466" s="189"/>
      <c r="F466" s="189"/>
      <c r="G466" s="14" t="s">
        <v>4057</v>
      </c>
      <c r="H466" s="14"/>
    </row>
    <row r="467" spans="2:8" x14ac:dyDescent="0.25">
      <c r="B467" s="11" t="s">
        <v>518</v>
      </c>
      <c r="C467" s="252" t="s">
        <v>3835</v>
      </c>
      <c r="D467" s="252"/>
      <c r="E467" s="252" t="s">
        <v>516</v>
      </c>
      <c r="F467" s="252"/>
      <c r="G467" s="14" t="s">
        <v>4058</v>
      </c>
      <c r="H467" s="14"/>
    </row>
    <row r="468" spans="2:8" x14ac:dyDescent="0.25">
      <c r="B468" s="11"/>
      <c r="C468" s="13"/>
      <c r="D468" s="13"/>
      <c r="E468" s="188"/>
      <c r="F468" s="188"/>
      <c r="G468" s="14" t="s">
        <v>4059</v>
      </c>
      <c r="H468" s="14"/>
    </row>
    <row r="469" spans="2:8" x14ac:dyDescent="0.25">
      <c r="B469" s="1" t="s">
        <v>4060</v>
      </c>
      <c r="C469" s="253" t="s">
        <v>4061</v>
      </c>
      <c r="D469" s="253"/>
      <c r="E469" s="290" t="s">
        <v>4062</v>
      </c>
      <c r="F469" s="290"/>
      <c r="G469" s="14" t="s">
        <v>4025</v>
      </c>
      <c r="H469" s="14"/>
    </row>
    <row r="470" spans="2:8" x14ac:dyDescent="0.25">
      <c r="B470" s="1"/>
      <c r="C470" s="14"/>
      <c r="D470" s="14"/>
      <c r="E470" s="189"/>
      <c r="F470" s="189"/>
      <c r="G470" s="14"/>
      <c r="H470" s="14"/>
    </row>
    <row r="471" spans="2:8" x14ac:dyDescent="0.25">
      <c r="B471" s="11" t="s">
        <v>677</v>
      </c>
      <c r="C471" s="252" t="s">
        <v>524</v>
      </c>
      <c r="D471" s="252"/>
      <c r="E471" s="252" t="s">
        <v>2136</v>
      </c>
      <c r="F471" s="252"/>
      <c r="G471" s="14"/>
      <c r="H471" s="14"/>
    </row>
    <row r="472" spans="2:8" x14ac:dyDescent="0.25">
      <c r="B472" s="11"/>
      <c r="C472" s="13"/>
      <c r="D472" s="13"/>
      <c r="E472" s="188"/>
      <c r="F472" s="188"/>
      <c r="G472" s="14"/>
      <c r="H472" s="14"/>
    </row>
    <row r="473" spans="2:8" x14ac:dyDescent="0.25">
      <c r="B473" s="1" t="s">
        <v>3728</v>
      </c>
      <c r="C473" s="253" t="s">
        <v>1295</v>
      </c>
      <c r="D473" s="253"/>
      <c r="E473" s="290" t="s">
        <v>1127</v>
      </c>
      <c r="F473" s="290"/>
      <c r="G473" s="14"/>
      <c r="H473" s="14"/>
    </row>
    <row r="474" spans="2:8" x14ac:dyDescent="0.25">
      <c r="B474" s="1"/>
      <c r="C474" s="14"/>
      <c r="D474" s="14"/>
      <c r="E474" s="189"/>
      <c r="F474" s="189"/>
      <c r="G474" s="14"/>
      <c r="H474" s="14"/>
    </row>
    <row r="475" spans="2:8" x14ac:dyDescent="0.25">
      <c r="B475" s="11" t="s">
        <v>1048</v>
      </c>
      <c r="C475" s="252" t="s">
        <v>524</v>
      </c>
      <c r="D475" s="252"/>
      <c r="E475" s="252" t="s">
        <v>2136</v>
      </c>
      <c r="F475" s="252"/>
      <c r="G475" s="14"/>
      <c r="H475" s="14"/>
    </row>
    <row r="476" spans="2:8" x14ac:dyDescent="0.25">
      <c r="B476" s="11"/>
      <c r="C476" s="13"/>
      <c r="D476" s="13"/>
      <c r="E476" s="13"/>
      <c r="F476" s="13"/>
      <c r="G476" s="14"/>
      <c r="H476" s="14"/>
    </row>
    <row r="477" spans="2:8" x14ac:dyDescent="0.25">
      <c r="B477" s="1" t="s">
        <v>4063</v>
      </c>
      <c r="C477" s="253" t="s">
        <v>2708</v>
      </c>
      <c r="D477" s="253"/>
      <c r="E477" s="253" t="s">
        <v>496</v>
      </c>
      <c r="F477" s="253"/>
      <c r="G477" s="14"/>
      <c r="H477" s="14"/>
    </row>
    <row r="478" spans="2:8" x14ac:dyDescent="0.25">
      <c r="B478" s="1"/>
      <c r="C478" s="14"/>
      <c r="D478" s="14"/>
      <c r="E478" s="14"/>
      <c r="F478" s="14"/>
      <c r="G478" s="14"/>
      <c r="H478" s="14"/>
    </row>
    <row r="479" spans="2:8" x14ac:dyDescent="0.25">
      <c r="B479" s="11" t="s">
        <v>4064</v>
      </c>
      <c r="C479" s="252" t="s">
        <v>524</v>
      </c>
      <c r="D479" s="252"/>
      <c r="E479" s="252" t="s">
        <v>2136</v>
      </c>
      <c r="F479" s="252"/>
      <c r="G479" s="14"/>
      <c r="H479" s="14"/>
    </row>
    <row r="480" spans="2:8" x14ac:dyDescent="0.25">
      <c r="B480" s="11"/>
      <c r="C480" s="13"/>
      <c r="D480" s="13"/>
      <c r="E480" s="8"/>
      <c r="F480" s="8"/>
      <c r="G480" s="15"/>
    </row>
    <row r="481" spans="2:13" x14ac:dyDescent="0.25">
      <c r="B481" s="1" t="s">
        <v>4065</v>
      </c>
      <c r="C481" s="253" t="s">
        <v>524</v>
      </c>
      <c r="D481" s="253"/>
      <c r="E481" s="255" t="s">
        <v>2136</v>
      </c>
      <c r="F481" s="255"/>
      <c r="G481" s="15"/>
    </row>
    <row r="482" spans="2:13" ht="15.75" thickBot="1" x14ac:dyDescent="0.3">
      <c r="B482" s="24"/>
      <c r="C482" s="24"/>
      <c r="D482" s="24"/>
      <c r="E482" s="24"/>
      <c r="F482" s="24"/>
      <c r="G482" s="15"/>
    </row>
    <row r="483" spans="2:13" x14ac:dyDescent="0.25">
      <c r="B483" s="217" t="s">
        <v>401</v>
      </c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9"/>
    </row>
    <row r="484" spans="2:13" x14ac:dyDescent="0.25">
      <c r="B484" s="3" t="s">
        <v>402</v>
      </c>
      <c r="C484" s="232" t="s">
        <v>403</v>
      </c>
      <c r="D484" s="232"/>
      <c r="E484" s="232" t="s">
        <v>467</v>
      </c>
      <c r="F484" s="232"/>
      <c r="G484" s="232" t="s">
        <v>405</v>
      </c>
      <c r="H484" s="232"/>
      <c r="I484" s="232" t="s">
        <v>406</v>
      </c>
      <c r="J484" s="232"/>
      <c r="K484" s="234" t="s">
        <v>468</v>
      </c>
      <c r="L484" s="235"/>
      <c r="M484" s="236"/>
    </row>
    <row r="485" spans="2:13" ht="15.75" thickBot="1" x14ac:dyDescent="0.3">
      <c r="B485" s="5"/>
      <c r="C485" s="237">
        <v>2</v>
      </c>
      <c r="D485" s="238"/>
      <c r="E485" s="239">
        <v>0.125</v>
      </c>
      <c r="F485" s="238"/>
      <c r="G485" s="240">
        <v>0.05</v>
      </c>
      <c r="H485" s="240"/>
      <c r="I485" s="241"/>
      <c r="J485" s="241"/>
      <c r="K485" s="242"/>
      <c r="L485" s="243"/>
      <c r="M485" s="244"/>
    </row>
    <row r="486" spans="2:13" ht="15.75" thickBot="1" x14ac:dyDescent="0.3">
      <c r="B486" s="1"/>
      <c r="C486" s="1"/>
      <c r="D486" s="1"/>
      <c r="E486" s="1"/>
      <c r="F486" s="1"/>
      <c r="G486" s="1"/>
      <c r="H486" s="1"/>
    </row>
    <row r="487" spans="2:13" x14ac:dyDescent="0.25">
      <c r="B487" s="217" t="s">
        <v>408</v>
      </c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9"/>
    </row>
    <row r="488" spans="2:13" x14ac:dyDescent="0.25">
      <c r="B488" s="3" t="s">
        <v>4066</v>
      </c>
      <c r="C488" s="232" t="s">
        <v>4067</v>
      </c>
      <c r="D488" s="232"/>
      <c r="E488" s="268" t="s">
        <v>1554</v>
      </c>
      <c r="F488" s="268"/>
      <c r="G488" s="268" t="s">
        <v>4068</v>
      </c>
      <c r="H488" s="268"/>
      <c r="I488" s="232" t="s">
        <v>4069</v>
      </c>
      <c r="J488" s="232"/>
      <c r="K488" s="232" t="s">
        <v>4070</v>
      </c>
      <c r="L488" s="232"/>
      <c r="M488" s="269"/>
    </row>
    <row r="489" spans="2:13" ht="15.75" thickBot="1" x14ac:dyDescent="0.3">
      <c r="B489" s="5" t="s">
        <v>1061</v>
      </c>
      <c r="C489" s="237" t="s">
        <v>1561</v>
      </c>
      <c r="D489" s="238"/>
      <c r="E489" s="240" t="s">
        <v>1562</v>
      </c>
      <c r="F489" s="240"/>
      <c r="G489" s="240" t="s">
        <v>4071</v>
      </c>
      <c r="H489" s="240"/>
      <c r="I489" s="240" t="s">
        <v>1563</v>
      </c>
      <c r="J489" s="240"/>
      <c r="K489" s="240" t="s">
        <v>4072</v>
      </c>
      <c r="L489" s="240"/>
      <c r="M489" s="267"/>
    </row>
    <row r="491" spans="2:13" ht="23.25" x14ac:dyDescent="0.35">
      <c r="B491" s="29" t="s">
        <v>334</v>
      </c>
      <c r="C491" s="229" t="s">
        <v>4073</v>
      </c>
      <c r="D491" s="229"/>
      <c r="E491" s="229"/>
      <c r="F491" s="229"/>
      <c r="G491" s="229"/>
      <c r="H491" s="229"/>
      <c r="I491" s="229"/>
      <c r="J491" s="229"/>
    </row>
    <row r="492" spans="2:13" ht="18.75" x14ac:dyDescent="0.3">
      <c r="B492" s="12" t="s">
        <v>335</v>
      </c>
      <c r="C492" s="1" t="s">
        <v>2</v>
      </c>
      <c r="D492" s="228" t="s">
        <v>427</v>
      </c>
      <c r="E492" s="228"/>
      <c r="F492" s="1" t="s">
        <v>4074</v>
      </c>
      <c r="L492" s="12" t="s">
        <v>339</v>
      </c>
      <c r="M492" s="6" t="s">
        <v>31</v>
      </c>
    </row>
    <row r="494" spans="2:13" x14ac:dyDescent="0.25">
      <c r="B494" s="2" t="s">
        <v>341</v>
      </c>
      <c r="C494" s="250" t="s">
        <v>4075</v>
      </c>
      <c r="D494" s="250"/>
      <c r="E494" s="250" t="s">
        <v>4076</v>
      </c>
      <c r="F494" s="250"/>
      <c r="G494" s="228" t="s">
        <v>345</v>
      </c>
      <c r="H494" s="228"/>
      <c r="I494" s="228"/>
      <c r="J494" s="228"/>
      <c r="K494" s="228"/>
      <c r="L494" s="228"/>
      <c r="M494" s="228"/>
    </row>
    <row r="496" spans="2:13" x14ac:dyDescent="0.25">
      <c r="B496" s="11" t="s">
        <v>4077</v>
      </c>
      <c r="C496" s="252" t="s">
        <v>438</v>
      </c>
      <c r="D496" s="252"/>
      <c r="E496" s="252" t="s">
        <v>758</v>
      </c>
      <c r="F496" s="252"/>
      <c r="G496" s="14" t="s">
        <v>4078</v>
      </c>
      <c r="H496" s="14"/>
    </row>
    <row r="497" spans="2:8" x14ac:dyDescent="0.25">
      <c r="B497" s="11"/>
      <c r="C497" s="188"/>
      <c r="D497" s="188"/>
      <c r="E497" s="188"/>
      <c r="F497" s="188"/>
      <c r="G497" s="14" t="s">
        <v>4079</v>
      </c>
      <c r="H497" s="14"/>
    </row>
    <row r="498" spans="2:8" x14ac:dyDescent="0.25">
      <c r="B498" s="1" t="s">
        <v>4080</v>
      </c>
      <c r="C498" s="253" t="s">
        <v>438</v>
      </c>
      <c r="D498" s="253"/>
      <c r="E498" s="290" t="s">
        <v>758</v>
      </c>
      <c r="F498" s="290"/>
      <c r="G498" s="14" t="s">
        <v>4081</v>
      </c>
      <c r="H498" s="14"/>
    </row>
    <row r="499" spans="2:8" x14ac:dyDescent="0.25">
      <c r="B499" s="1"/>
      <c r="C499" s="253"/>
      <c r="D499" s="253"/>
      <c r="E499" s="189"/>
      <c r="F499" s="189"/>
      <c r="G499" s="14" t="s">
        <v>4082</v>
      </c>
      <c r="H499" s="14"/>
    </row>
    <row r="500" spans="2:8" x14ac:dyDescent="0.25">
      <c r="B500" s="11" t="s">
        <v>397</v>
      </c>
      <c r="C500" s="323" t="s">
        <v>374</v>
      </c>
      <c r="D500" s="252"/>
      <c r="E500" s="323" t="s">
        <v>1194</v>
      </c>
      <c r="F500" s="323"/>
      <c r="G500" s="14" t="s">
        <v>4083</v>
      </c>
      <c r="H500" s="14"/>
    </row>
    <row r="501" spans="2:8" x14ac:dyDescent="0.25">
      <c r="B501" s="11"/>
      <c r="C501" s="188"/>
      <c r="D501" s="188"/>
      <c r="E501" s="188"/>
      <c r="F501" s="188"/>
      <c r="G501" s="14" t="s">
        <v>4084</v>
      </c>
      <c r="H501" s="14"/>
    </row>
    <row r="502" spans="2:8" x14ac:dyDescent="0.25">
      <c r="B502" s="1" t="s">
        <v>859</v>
      </c>
      <c r="C502" s="290" t="s">
        <v>375</v>
      </c>
      <c r="D502" s="290"/>
      <c r="E502" s="290" t="s">
        <v>400</v>
      </c>
      <c r="F502" s="290"/>
      <c r="G502" s="14" t="s">
        <v>4085</v>
      </c>
      <c r="H502" s="14"/>
    </row>
    <row r="503" spans="2:8" x14ac:dyDescent="0.25">
      <c r="B503" s="1"/>
      <c r="C503" s="189"/>
      <c r="D503" s="189"/>
      <c r="E503" s="189"/>
      <c r="F503" s="189"/>
      <c r="G503" s="14" t="s">
        <v>4086</v>
      </c>
      <c r="H503" s="14"/>
    </row>
    <row r="504" spans="2:8" x14ac:dyDescent="0.25">
      <c r="B504" s="11" t="s">
        <v>4087</v>
      </c>
      <c r="C504" s="323" t="s">
        <v>391</v>
      </c>
      <c r="D504" s="323"/>
      <c r="E504" s="252" t="s">
        <v>374</v>
      </c>
      <c r="F504" s="252"/>
      <c r="G504" s="14" t="s">
        <v>4088</v>
      </c>
      <c r="H504" s="14"/>
    </row>
    <row r="505" spans="2:8" x14ac:dyDescent="0.25">
      <c r="B505" s="11"/>
      <c r="C505" s="188"/>
      <c r="D505" s="188"/>
      <c r="E505" s="188"/>
      <c r="F505" s="188"/>
      <c r="G505" s="14" t="s">
        <v>4089</v>
      </c>
      <c r="H505" s="14"/>
    </row>
    <row r="506" spans="2:8" x14ac:dyDescent="0.25">
      <c r="B506" s="1" t="s">
        <v>518</v>
      </c>
      <c r="C506" s="253" t="s">
        <v>516</v>
      </c>
      <c r="D506" s="253"/>
      <c r="E506" s="290" t="s">
        <v>513</v>
      </c>
      <c r="F506" s="290"/>
      <c r="G506" s="14" t="s">
        <v>4090</v>
      </c>
      <c r="H506" s="14"/>
    </row>
    <row r="507" spans="2:8" x14ac:dyDescent="0.25">
      <c r="B507" s="1"/>
      <c r="C507" s="253"/>
      <c r="D507" s="253"/>
      <c r="E507" s="189"/>
      <c r="F507" s="189"/>
      <c r="G507" s="14" t="s">
        <v>4091</v>
      </c>
      <c r="H507" s="14"/>
    </row>
    <row r="508" spans="2:8" x14ac:dyDescent="0.25">
      <c r="B508" s="11" t="s">
        <v>1946</v>
      </c>
      <c r="C508" s="323" t="s">
        <v>392</v>
      </c>
      <c r="D508" s="252"/>
      <c r="E508" s="252" t="s">
        <v>789</v>
      </c>
      <c r="F508" s="252"/>
      <c r="G508" s="14"/>
      <c r="H508" s="14"/>
    </row>
    <row r="509" spans="2:8" x14ac:dyDescent="0.25">
      <c r="B509" s="11"/>
      <c r="C509" s="188"/>
      <c r="D509" s="188"/>
      <c r="E509" s="188"/>
      <c r="F509" s="188"/>
      <c r="G509" s="14" t="s">
        <v>4092</v>
      </c>
      <c r="H509" s="14"/>
    </row>
    <row r="510" spans="2:8" x14ac:dyDescent="0.25">
      <c r="B510" s="1" t="s">
        <v>652</v>
      </c>
      <c r="C510" s="290" t="s">
        <v>391</v>
      </c>
      <c r="D510" s="290"/>
      <c r="E510" s="290" t="s">
        <v>374</v>
      </c>
      <c r="F510" s="290"/>
      <c r="G510" s="14" t="s">
        <v>4093</v>
      </c>
      <c r="H510" s="14"/>
    </row>
    <row r="511" spans="2:8" x14ac:dyDescent="0.25">
      <c r="B511" s="1"/>
      <c r="C511" s="14"/>
      <c r="D511" s="14"/>
      <c r="E511" s="189"/>
      <c r="F511" s="189"/>
      <c r="H511" s="14"/>
    </row>
    <row r="512" spans="2:8" x14ac:dyDescent="0.25">
      <c r="B512" s="11" t="s">
        <v>4094</v>
      </c>
      <c r="C512" s="252" t="s">
        <v>4095</v>
      </c>
      <c r="D512" s="252"/>
      <c r="E512" s="252" t="s">
        <v>786</v>
      </c>
      <c r="F512" s="252"/>
      <c r="G512" s="14" t="s">
        <v>4096</v>
      </c>
      <c r="H512" s="14"/>
    </row>
    <row r="513" spans="2:13" x14ac:dyDescent="0.25">
      <c r="B513" s="11"/>
      <c r="C513" s="13"/>
      <c r="D513" s="13"/>
      <c r="E513" s="13"/>
      <c r="F513" s="13"/>
      <c r="G513" s="14" t="s">
        <v>4097</v>
      </c>
      <c r="H513" s="14"/>
    </row>
    <row r="514" spans="2:13" x14ac:dyDescent="0.25">
      <c r="B514" s="1" t="s">
        <v>4098</v>
      </c>
      <c r="C514" s="253" t="s">
        <v>683</v>
      </c>
      <c r="D514" s="253"/>
      <c r="E514" s="253" t="s">
        <v>683</v>
      </c>
      <c r="F514" s="253"/>
      <c r="G514" s="14"/>
      <c r="H514" s="14"/>
    </row>
    <row r="515" spans="2:13" ht="15.75" thickBot="1" x14ac:dyDescent="0.3">
      <c r="B515" s="1"/>
      <c r="C515" s="14"/>
      <c r="D515" s="14"/>
      <c r="E515" s="14"/>
      <c r="F515" s="14"/>
      <c r="G515" s="14"/>
      <c r="H515" s="14"/>
    </row>
    <row r="516" spans="2:13" x14ac:dyDescent="0.25">
      <c r="B516" s="217" t="s">
        <v>401</v>
      </c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9"/>
    </row>
    <row r="517" spans="2:13" x14ac:dyDescent="0.25">
      <c r="B517" s="3" t="s">
        <v>402</v>
      </c>
      <c r="C517" s="232" t="s">
        <v>403</v>
      </c>
      <c r="D517" s="232"/>
      <c r="E517" s="232" t="s">
        <v>467</v>
      </c>
      <c r="F517" s="232"/>
      <c r="G517" s="232" t="s">
        <v>405</v>
      </c>
      <c r="H517" s="232"/>
      <c r="I517" s="232" t="s">
        <v>406</v>
      </c>
      <c r="J517" s="232"/>
      <c r="K517" s="234" t="s">
        <v>468</v>
      </c>
      <c r="L517" s="235"/>
      <c r="M517" s="236"/>
    </row>
    <row r="518" spans="2:13" ht="15.75" thickBot="1" x14ac:dyDescent="0.3">
      <c r="B518" s="5">
        <v>0.4</v>
      </c>
      <c r="C518" s="237">
        <v>0.25</v>
      </c>
      <c r="D518" s="238"/>
      <c r="E518" s="239"/>
      <c r="F518" s="238"/>
      <c r="G518" s="240"/>
      <c r="H518" s="240"/>
      <c r="I518" s="241"/>
      <c r="J518" s="241"/>
      <c r="K518" s="242"/>
      <c r="L518" s="243"/>
      <c r="M518" s="244"/>
    </row>
    <row r="519" spans="2:13" ht="15.75" thickBot="1" x14ac:dyDescent="0.3">
      <c r="B519" s="1"/>
      <c r="C519" s="1"/>
      <c r="D519" s="1"/>
      <c r="E519" s="1"/>
      <c r="F519" s="1"/>
      <c r="G519" s="1"/>
      <c r="H519" s="1"/>
    </row>
    <row r="520" spans="2:13" x14ac:dyDescent="0.25">
      <c r="B520" s="217" t="s">
        <v>408</v>
      </c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9"/>
    </row>
    <row r="521" spans="2:13" x14ac:dyDescent="0.25">
      <c r="B521" s="3" t="s">
        <v>4099</v>
      </c>
      <c r="C521" s="232" t="s">
        <v>4100</v>
      </c>
      <c r="D521" s="232"/>
      <c r="E521" s="268" t="s">
        <v>4101</v>
      </c>
      <c r="F521" s="268"/>
      <c r="G521" s="268" t="s">
        <v>4102</v>
      </c>
      <c r="H521" s="268"/>
      <c r="I521" s="232" t="s">
        <v>4103</v>
      </c>
      <c r="J521" s="232"/>
      <c r="K521" s="232" t="s">
        <v>4104</v>
      </c>
      <c r="L521" s="232"/>
      <c r="M521" s="269"/>
    </row>
    <row r="522" spans="2:13" ht="15.75" thickBot="1" x14ac:dyDescent="0.3">
      <c r="B522" s="5" t="s">
        <v>2819</v>
      </c>
      <c r="C522" s="237" t="s">
        <v>1561</v>
      </c>
      <c r="D522" s="238"/>
      <c r="E522" s="240" t="s">
        <v>1562</v>
      </c>
      <c r="F522" s="240"/>
      <c r="G522" s="240" t="s">
        <v>4071</v>
      </c>
      <c r="H522" s="240"/>
      <c r="I522" s="240" t="s">
        <v>1563</v>
      </c>
      <c r="J522" s="240"/>
      <c r="K522" s="240" t="s">
        <v>4105</v>
      </c>
      <c r="L522" s="240"/>
      <c r="M522" s="267"/>
    </row>
    <row r="524" spans="2:13" ht="23.25" x14ac:dyDescent="0.35">
      <c r="B524" s="29" t="s">
        <v>334</v>
      </c>
      <c r="C524" s="229" t="s">
        <v>72</v>
      </c>
      <c r="D524" s="229"/>
      <c r="E524" s="229"/>
      <c r="F524" s="229"/>
      <c r="G524" s="229"/>
      <c r="H524" s="229"/>
      <c r="I524" s="229"/>
      <c r="J524" s="229"/>
    </row>
    <row r="525" spans="2:13" ht="18.75" x14ac:dyDescent="0.3">
      <c r="B525" s="12" t="s">
        <v>335</v>
      </c>
      <c r="C525" s="1" t="s">
        <v>2</v>
      </c>
      <c r="D525" s="228" t="s">
        <v>427</v>
      </c>
      <c r="E525" s="228"/>
      <c r="F525" s="1" t="s">
        <v>4106</v>
      </c>
      <c r="L525" s="12" t="s">
        <v>339</v>
      </c>
      <c r="M525" s="6" t="s">
        <v>71</v>
      </c>
    </row>
    <row r="527" spans="2:13" x14ac:dyDescent="0.25">
      <c r="B527" s="2" t="s">
        <v>341</v>
      </c>
      <c r="C527" s="250" t="s">
        <v>430</v>
      </c>
      <c r="D527" s="250"/>
      <c r="E527" s="250" t="s">
        <v>805</v>
      </c>
      <c r="F527" s="250"/>
      <c r="G527" s="228" t="s">
        <v>345</v>
      </c>
      <c r="H527" s="228"/>
      <c r="I527" s="228"/>
      <c r="J527" s="228"/>
      <c r="K527" s="228"/>
      <c r="L527" s="228"/>
      <c r="M527" s="228"/>
    </row>
    <row r="529" spans="2:10" x14ac:dyDescent="0.25">
      <c r="B529" s="11" t="s">
        <v>652</v>
      </c>
      <c r="C529" s="252" t="s">
        <v>3711</v>
      </c>
      <c r="D529" s="252"/>
      <c r="E529" s="252" t="s">
        <v>3712</v>
      </c>
      <c r="F529" s="252"/>
      <c r="G529" s="14" t="s">
        <v>4107</v>
      </c>
      <c r="H529" s="14"/>
      <c r="I529" s="14"/>
      <c r="J529" s="14"/>
    </row>
    <row r="530" spans="2:10" x14ac:dyDescent="0.25">
      <c r="B530" s="11"/>
      <c r="C530" s="252"/>
      <c r="D530" s="252"/>
      <c r="E530" s="252"/>
      <c r="F530" s="252"/>
      <c r="G530" s="14" t="s">
        <v>4108</v>
      </c>
      <c r="H530" s="14"/>
      <c r="I530" s="14"/>
      <c r="J530" s="14"/>
    </row>
    <row r="531" spans="2:10" x14ac:dyDescent="0.25">
      <c r="B531" s="1" t="s">
        <v>3817</v>
      </c>
      <c r="C531" s="253" t="s">
        <v>391</v>
      </c>
      <c r="D531" s="253"/>
      <c r="E531" s="253" t="s">
        <v>374</v>
      </c>
      <c r="F531" s="253"/>
      <c r="G531" s="14" t="s">
        <v>4109</v>
      </c>
      <c r="H531" s="14"/>
      <c r="I531" s="14"/>
      <c r="J531" s="14"/>
    </row>
    <row r="532" spans="2:10" x14ac:dyDescent="0.25">
      <c r="B532" s="1"/>
      <c r="C532" s="253"/>
      <c r="D532" s="253"/>
      <c r="E532" s="253"/>
      <c r="F532" s="253"/>
      <c r="G532" s="14" t="s">
        <v>4110</v>
      </c>
      <c r="H532" s="14"/>
      <c r="I532" s="14"/>
      <c r="J532" s="14"/>
    </row>
    <row r="533" spans="2:10" x14ac:dyDescent="0.25">
      <c r="B533" s="11" t="s">
        <v>1840</v>
      </c>
      <c r="C533" s="252" t="s">
        <v>4111</v>
      </c>
      <c r="D533" s="252"/>
      <c r="E533" s="252" t="s">
        <v>4112</v>
      </c>
      <c r="F533" s="252"/>
      <c r="G533" s="14" t="s">
        <v>4113</v>
      </c>
      <c r="H533" s="14"/>
      <c r="I533" s="14"/>
      <c r="J533" s="14"/>
    </row>
    <row r="534" spans="2:10" x14ac:dyDescent="0.25">
      <c r="B534" s="11"/>
      <c r="C534" s="188"/>
      <c r="D534" s="188"/>
      <c r="E534" s="188"/>
      <c r="F534" s="188"/>
      <c r="G534" s="14" t="s">
        <v>4114</v>
      </c>
      <c r="H534" s="14"/>
      <c r="I534" s="14"/>
      <c r="J534" s="14"/>
    </row>
    <row r="535" spans="2:10" x14ac:dyDescent="0.25">
      <c r="B535" s="1" t="s">
        <v>660</v>
      </c>
      <c r="C535" s="253" t="s">
        <v>392</v>
      </c>
      <c r="D535" s="253"/>
      <c r="E535" s="253" t="s">
        <v>789</v>
      </c>
      <c r="F535" s="253"/>
      <c r="G535" s="14" t="s">
        <v>4115</v>
      </c>
      <c r="H535" s="14"/>
      <c r="I535" s="14"/>
      <c r="J535" s="14"/>
    </row>
    <row r="536" spans="2:10" x14ac:dyDescent="0.25">
      <c r="B536" s="1"/>
      <c r="C536" s="189"/>
      <c r="D536" s="189"/>
      <c r="E536" s="189"/>
      <c r="F536" s="189"/>
      <c r="G536" s="14" t="s">
        <v>4116</v>
      </c>
      <c r="H536" s="14"/>
      <c r="I536" s="14"/>
      <c r="J536" s="14"/>
    </row>
    <row r="537" spans="2:10" x14ac:dyDescent="0.25">
      <c r="B537" s="11" t="s">
        <v>518</v>
      </c>
      <c r="C537" s="252" t="s">
        <v>513</v>
      </c>
      <c r="D537" s="252"/>
      <c r="E537" s="252" t="s">
        <v>4117</v>
      </c>
      <c r="F537" s="252"/>
      <c r="G537" s="14" t="s">
        <v>4118</v>
      </c>
      <c r="H537" s="14"/>
      <c r="I537" s="14"/>
      <c r="J537" s="14"/>
    </row>
    <row r="538" spans="2:10" x14ac:dyDescent="0.25">
      <c r="B538" s="11"/>
      <c r="C538" s="13"/>
      <c r="D538" s="13"/>
      <c r="E538" s="13"/>
      <c r="F538" s="13"/>
      <c r="G538" s="14" t="s">
        <v>2988</v>
      </c>
      <c r="H538" s="14"/>
      <c r="I538" s="14"/>
      <c r="J538" s="14" t="s">
        <v>4119</v>
      </c>
    </row>
    <row r="539" spans="2:10" x14ac:dyDescent="0.25">
      <c r="B539" s="1" t="s">
        <v>4120</v>
      </c>
      <c r="C539" s="253" t="s">
        <v>3438</v>
      </c>
      <c r="D539" s="253"/>
      <c r="E539" s="253" t="s">
        <v>1443</v>
      </c>
      <c r="F539" s="253"/>
      <c r="G539" s="14"/>
      <c r="H539" s="14"/>
      <c r="I539" s="14"/>
      <c r="J539" s="14" t="s">
        <v>4121</v>
      </c>
    </row>
    <row r="540" spans="2:10" x14ac:dyDescent="0.25">
      <c r="B540" s="1"/>
      <c r="C540" s="14"/>
      <c r="D540" s="14"/>
      <c r="E540" s="14"/>
      <c r="F540" s="14"/>
      <c r="G540" s="14" t="s">
        <v>4122</v>
      </c>
      <c r="H540" s="14"/>
      <c r="I540" s="14"/>
      <c r="J540" s="14"/>
    </row>
    <row r="541" spans="2:10" x14ac:dyDescent="0.25">
      <c r="B541" s="11" t="s">
        <v>4123</v>
      </c>
      <c r="C541" s="252" t="s">
        <v>524</v>
      </c>
      <c r="D541" s="252"/>
      <c r="E541" s="252" t="s">
        <v>786</v>
      </c>
      <c r="F541" s="252"/>
      <c r="G541" s="14" t="s">
        <v>4124</v>
      </c>
      <c r="H541" s="14"/>
      <c r="I541" s="14"/>
      <c r="J541" s="14"/>
    </row>
    <row r="542" spans="2:10" x14ac:dyDescent="0.25">
      <c r="B542" s="11" t="s">
        <v>2170</v>
      </c>
      <c r="C542" s="252" t="s">
        <v>437</v>
      </c>
      <c r="D542" s="252"/>
      <c r="E542" s="252" t="s">
        <v>438</v>
      </c>
      <c r="F542" s="252"/>
      <c r="G542" s="14" t="s">
        <v>4125</v>
      </c>
      <c r="H542" s="14"/>
      <c r="I542" s="14"/>
      <c r="J542" s="14"/>
    </row>
    <row r="543" spans="2:10" x14ac:dyDescent="0.25">
      <c r="B543" s="1" t="s">
        <v>397</v>
      </c>
      <c r="C543" s="253" t="s">
        <v>398</v>
      </c>
      <c r="D543" s="253"/>
      <c r="E543" s="253" t="s">
        <v>4126</v>
      </c>
      <c r="F543" s="253"/>
      <c r="G543" s="14" t="s">
        <v>4127</v>
      </c>
      <c r="H543" s="14"/>
      <c r="I543" s="14"/>
      <c r="J543" s="14"/>
    </row>
    <row r="544" spans="2:10" x14ac:dyDescent="0.25">
      <c r="B544" s="1"/>
      <c r="C544" s="14"/>
      <c r="D544" s="14"/>
      <c r="E544" s="14"/>
      <c r="F544" s="14"/>
      <c r="G544" s="14" t="s">
        <v>2988</v>
      </c>
      <c r="H544" s="14"/>
      <c r="I544" s="14"/>
      <c r="J544" s="14" t="s">
        <v>4128</v>
      </c>
    </row>
    <row r="545" spans="2:13" x14ac:dyDescent="0.25">
      <c r="B545" s="11" t="s">
        <v>677</v>
      </c>
      <c r="C545" s="252" t="s">
        <v>391</v>
      </c>
      <c r="D545" s="252"/>
      <c r="E545" s="252" t="s">
        <v>374</v>
      </c>
      <c r="F545" s="252"/>
      <c r="G545" s="14"/>
      <c r="H545" s="14"/>
      <c r="I545" s="14"/>
      <c r="J545" s="14" t="s">
        <v>4129</v>
      </c>
    </row>
    <row r="546" spans="2:13" x14ac:dyDescent="0.25">
      <c r="B546" s="11"/>
      <c r="C546" s="13"/>
      <c r="D546" s="13"/>
      <c r="E546" s="13"/>
      <c r="F546" s="13"/>
      <c r="G546" s="14" t="s">
        <v>4130</v>
      </c>
      <c r="H546" s="14"/>
      <c r="I546" s="14"/>
      <c r="J546" s="14"/>
    </row>
    <row r="547" spans="2:13" ht="15.75" thickBot="1" x14ac:dyDescent="0.3">
      <c r="B547" s="1"/>
      <c r="C547" s="253"/>
      <c r="D547" s="253"/>
      <c r="E547" s="253"/>
      <c r="F547" s="253"/>
      <c r="G547" s="14" t="s">
        <v>4131</v>
      </c>
      <c r="H547" s="14"/>
      <c r="I547" s="14"/>
      <c r="J547" s="14"/>
    </row>
    <row r="548" spans="2:13" x14ac:dyDescent="0.25">
      <c r="B548" s="217" t="s">
        <v>401</v>
      </c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9"/>
    </row>
    <row r="549" spans="2:13" x14ac:dyDescent="0.25">
      <c r="B549" s="3" t="s">
        <v>402</v>
      </c>
      <c r="C549" s="232" t="s">
        <v>403</v>
      </c>
      <c r="D549" s="232"/>
      <c r="E549" s="232" t="s">
        <v>467</v>
      </c>
      <c r="F549" s="232"/>
      <c r="G549" s="232" t="s">
        <v>405</v>
      </c>
      <c r="H549" s="232"/>
      <c r="I549" s="232" t="s">
        <v>406</v>
      </c>
      <c r="J549" s="232"/>
      <c r="K549" s="234" t="s">
        <v>468</v>
      </c>
      <c r="L549" s="235"/>
      <c r="M549" s="236"/>
    </row>
    <row r="550" spans="2:13" ht="15.75" thickBot="1" x14ac:dyDescent="0.3">
      <c r="B550" s="5"/>
      <c r="C550" s="237">
        <v>1</v>
      </c>
      <c r="D550" s="238"/>
      <c r="E550" s="239"/>
      <c r="F550" s="238"/>
      <c r="G550" s="240"/>
      <c r="H550" s="240"/>
      <c r="I550" s="241"/>
      <c r="J550" s="241"/>
      <c r="K550" s="242"/>
      <c r="L550" s="243"/>
      <c r="M550" s="244"/>
    </row>
    <row r="551" spans="2:13" ht="15.75" thickBot="1" x14ac:dyDescent="0.3">
      <c r="B551" s="1"/>
      <c r="C551" s="1"/>
      <c r="D551" s="1"/>
      <c r="E551" s="1"/>
      <c r="F551" s="1"/>
      <c r="G551" s="1"/>
      <c r="H551" s="1"/>
    </row>
    <row r="552" spans="2:13" x14ac:dyDescent="0.25">
      <c r="B552" s="217" t="s">
        <v>408</v>
      </c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9"/>
    </row>
    <row r="553" spans="2:13" x14ac:dyDescent="0.25">
      <c r="B553" s="3" t="s">
        <v>4132</v>
      </c>
      <c r="C553" s="232" t="s">
        <v>4133</v>
      </c>
      <c r="D553" s="232"/>
      <c r="E553" s="268" t="s">
        <v>4134</v>
      </c>
      <c r="F553" s="268"/>
      <c r="G553" s="268" t="s">
        <v>4135</v>
      </c>
      <c r="H553" s="268"/>
      <c r="I553" s="232" t="s">
        <v>4136</v>
      </c>
      <c r="J553" s="232"/>
      <c r="K553" s="232" t="s">
        <v>4137</v>
      </c>
      <c r="L553" s="232"/>
      <c r="M553" s="269"/>
    </row>
    <row r="554" spans="2:13" ht="15.75" thickBot="1" x14ac:dyDescent="0.3">
      <c r="B554" s="5" t="s">
        <v>2819</v>
      </c>
      <c r="C554" s="237" t="s">
        <v>4138</v>
      </c>
      <c r="D554" s="238"/>
      <c r="E554" s="240" t="s">
        <v>4139</v>
      </c>
      <c r="F554" s="240"/>
      <c r="G554" s="240" t="s">
        <v>4140</v>
      </c>
      <c r="H554" s="240"/>
      <c r="I554" s="240" t="s">
        <v>3846</v>
      </c>
      <c r="J554" s="240"/>
      <c r="K554" s="240" t="s">
        <v>4141</v>
      </c>
      <c r="L554" s="240"/>
      <c r="M554" s="267"/>
    </row>
    <row r="556" spans="2:13" ht="23.25" x14ac:dyDescent="0.35">
      <c r="B556" s="29" t="s">
        <v>334</v>
      </c>
      <c r="C556" s="229" t="s">
        <v>82</v>
      </c>
      <c r="D556" s="229"/>
      <c r="E556" s="229"/>
      <c r="F556" s="229"/>
      <c r="G556" s="229"/>
      <c r="H556" s="229"/>
      <c r="I556" s="229"/>
      <c r="J556" s="229"/>
      <c r="K556" s="229"/>
    </row>
    <row r="557" spans="2:13" ht="18.75" x14ac:dyDescent="0.3">
      <c r="B557" s="12" t="s">
        <v>335</v>
      </c>
      <c r="C557" s="1" t="s">
        <v>2</v>
      </c>
      <c r="D557" s="228" t="s">
        <v>427</v>
      </c>
      <c r="E557" s="228"/>
      <c r="F557" s="1" t="s">
        <v>4142</v>
      </c>
      <c r="L557" s="12" t="s">
        <v>339</v>
      </c>
      <c r="M557" s="6" t="s">
        <v>81</v>
      </c>
    </row>
    <row r="559" spans="2:13" x14ac:dyDescent="0.25">
      <c r="B559" s="2" t="s">
        <v>341</v>
      </c>
      <c r="C559" s="322" t="s">
        <v>430</v>
      </c>
      <c r="D559" s="322"/>
      <c r="E559" s="322" t="s">
        <v>805</v>
      </c>
      <c r="F559" s="322"/>
      <c r="G559" s="228" t="s">
        <v>345</v>
      </c>
      <c r="H559" s="228"/>
      <c r="I559" s="228"/>
      <c r="J559" s="228"/>
      <c r="K559" s="228"/>
      <c r="L559" s="228"/>
      <c r="M559" s="228"/>
    </row>
    <row r="560" spans="2:13" x14ac:dyDescent="0.25">
      <c r="C560" s="14"/>
      <c r="D560" s="14"/>
      <c r="E560" s="14"/>
      <c r="F560" s="14"/>
    </row>
    <row r="561" spans="2:13" x14ac:dyDescent="0.25">
      <c r="B561" s="11" t="s">
        <v>4143</v>
      </c>
      <c r="C561" s="252" t="s">
        <v>4144</v>
      </c>
      <c r="D561" s="252"/>
      <c r="E561" s="252" t="s">
        <v>4145</v>
      </c>
      <c r="F561" s="252"/>
      <c r="G561" s="14" t="s">
        <v>4146</v>
      </c>
      <c r="H561" s="14"/>
    </row>
    <row r="562" spans="2:13" x14ac:dyDescent="0.25">
      <c r="B562" s="11"/>
      <c r="C562" s="252"/>
      <c r="D562" s="252"/>
      <c r="E562" s="252"/>
      <c r="F562" s="252"/>
      <c r="G562" s="14" t="s">
        <v>4147</v>
      </c>
      <c r="H562" s="16"/>
    </row>
    <row r="563" spans="2:13" x14ac:dyDescent="0.25">
      <c r="B563" s="1" t="s">
        <v>4148</v>
      </c>
      <c r="C563" s="253" t="s">
        <v>4149</v>
      </c>
      <c r="D563" s="253"/>
      <c r="E563" s="253" t="s">
        <v>4150</v>
      </c>
      <c r="F563" s="253"/>
      <c r="G563" s="14" t="s">
        <v>4151</v>
      </c>
      <c r="H563" s="14"/>
    </row>
    <row r="564" spans="2:13" x14ac:dyDescent="0.25">
      <c r="B564" s="1" t="s">
        <v>4152</v>
      </c>
      <c r="C564" s="253"/>
      <c r="D564" s="253"/>
      <c r="E564" s="253"/>
      <c r="F564" s="253"/>
      <c r="G564" s="14" t="s">
        <v>4153</v>
      </c>
      <c r="H564" s="14"/>
    </row>
    <row r="565" spans="2:13" x14ac:dyDescent="0.25">
      <c r="B565" s="11" t="s">
        <v>4154</v>
      </c>
      <c r="C565" s="252" t="s">
        <v>462</v>
      </c>
      <c r="D565" s="252"/>
      <c r="E565" s="252" t="s">
        <v>463</v>
      </c>
      <c r="F565" s="252"/>
      <c r="G565" s="14" t="s">
        <v>4155</v>
      </c>
      <c r="H565" s="14"/>
    </row>
    <row r="566" spans="2:13" x14ac:dyDescent="0.25">
      <c r="B566" s="11"/>
      <c r="C566" s="188"/>
      <c r="D566" s="188"/>
      <c r="E566" s="188"/>
      <c r="F566" s="188"/>
      <c r="G566" s="14" t="s">
        <v>4156</v>
      </c>
      <c r="H566" s="14"/>
    </row>
    <row r="567" spans="2:13" x14ac:dyDescent="0.25">
      <c r="B567" s="1" t="s">
        <v>4157</v>
      </c>
      <c r="C567" s="253" t="s">
        <v>463</v>
      </c>
      <c r="D567" s="253"/>
      <c r="E567" s="253" t="s">
        <v>3197</v>
      </c>
      <c r="F567" s="253"/>
      <c r="G567" s="14"/>
      <c r="H567" s="14"/>
    </row>
    <row r="568" spans="2:13" ht="15.75" thickBot="1" x14ac:dyDescent="0.3">
      <c r="B568" s="1" t="s">
        <v>869</v>
      </c>
      <c r="C568" s="189"/>
      <c r="D568" s="189"/>
      <c r="E568" s="189"/>
      <c r="F568" s="189"/>
      <c r="G568" s="14"/>
      <c r="H568" s="14"/>
    </row>
    <row r="569" spans="2:13" x14ac:dyDescent="0.25">
      <c r="B569" s="217" t="s">
        <v>401</v>
      </c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9"/>
    </row>
    <row r="570" spans="2:13" x14ac:dyDescent="0.25">
      <c r="B570" s="3" t="s">
        <v>402</v>
      </c>
      <c r="C570" s="232" t="s">
        <v>403</v>
      </c>
      <c r="D570" s="232"/>
      <c r="E570" s="232" t="s">
        <v>467</v>
      </c>
      <c r="F570" s="232"/>
      <c r="G570" s="232" t="s">
        <v>405</v>
      </c>
      <c r="H570" s="232"/>
      <c r="I570" s="232" t="s">
        <v>406</v>
      </c>
      <c r="J570" s="232"/>
      <c r="K570" s="234" t="s">
        <v>468</v>
      </c>
      <c r="L570" s="235"/>
      <c r="M570" s="236"/>
    </row>
    <row r="571" spans="2:13" ht="15.75" thickBot="1" x14ac:dyDescent="0.3">
      <c r="B571" s="5">
        <v>5</v>
      </c>
      <c r="C571" s="237"/>
      <c r="D571" s="238"/>
      <c r="E571" s="239">
        <v>0.125</v>
      </c>
      <c r="F571" s="238"/>
      <c r="G571" s="240"/>
      <c r="H571" s="240"/>
      <c r="I571" s="241"/>
      <c r="J571" s="241"/>
      <c r="K571" s="242"/>
      <c r="L571" s="243"/>
      <c r="M571" s="244"/>
    </row>
    <row r="572" spans="2:13" ht="15.75" thickBot="1" x14ac:dyDescent="0.3">
      <c r="B572" s="1"/>
      <c r="C572" s="1"/>
      <c r="D572" s="1"/>
      <c r="E572" s="1"/>
      <c r="F572" s="1"/>
      <c r="G572" s="1"/>
      <c r="H572" s="1"/>
    </row>
    <row r="573" spans="2:13" x14ac:dyDescent="0.25">
      <c r="B573" s="217" t="s">
        <v>408</v>
      </c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9"/>
    </row>
    <row r="574" spans="2:13" x14ac:dyDescent="0.25">
      <c r="B574" s="3" t="s">
        <v>4158</v>
      </c>
      <c r="C574" s="232" t="s">
        <v>4159</v>
      </c>
      <c r="D574" s="232"/>
      <c r="E574" s="268" t="s">
        <v>1993</v>
      </c>
      <c r="F574" s="268"/>
      <c r="G574" s="232" t="s">
        <v>4160</v>
      </c>
      <c r="H574" s="232"/>
      <c r="I574" s="232" t="s">
        <v>4161</v>
      </c>
      <c r="J574" s="232"/>
      <c r="K574" s="232" t="s">
        <v>4162</v>
      </c>
      <c r="L574" s="232"/>
      <c r="M574" s="269"/>
    </row>
    <row r="575" spans="2:13" ht="15.75" thickBot="1" x14ac:dyDescent="0.3">
      <c r="B575" s="5" t="s">
        <v>1181</v>
      </c>
      <c r="C575" s="237" t="s">
        <v>2776</v>
      </c>
      <c r="D575" s="238"/>
      <c r="E575" s="240" t="s">
        <v>2777</v>
      </c>
      <c r="F575" s="240"/>
      <c r="G575" s="240" t="s">
        <v>4163</v>
      </c>
      <c r="H575" s="240"/>
      <c r="I575" s="240" t="s">
        <v>2778</v>
      </c>
      <c r="J575" s="240"/>
      <c r="K575" s="240" t="s">
        <v>2775</v>
      </c>
      <c r="L575" s="240"/>
      <c r="M575" s="267"/>
    </row>
    <row r="577" spans="2:15" ht="23.25" x14ac:dyDescent="0.35">
      <c r="B577" s="29" t="s">
        <v>334</v>
      </c>
      <c r="C577" s="229" t="s">
        <v>87</v>
      </c>
      <c r="D577" s="229"/>
      <c r="E577" s="229"/>
      <c r="F577" s="229"/>
      <c r="G577" s="229"/>
      <c r="H577" s="229"/>
      <c r="I577" s="229"/>
      <c r="J577" s="229"/>
      <c r="K577" s="229"/>
    </row>
    <row r="578" spans="2:15" ht="18.75" x14ac:dyDescent="0.3">
      <c r="B578" s="12" t="s">
        <v>335</v>
      </c>
      <c r="C578" s="1" t="s">
        <v>2</v>
      </c>
      <c r="D578" s="228" t="s">
        <v>427</v>
      </c>
      <c r="E578" s="228"/>
      <c r="F578" s="1" t="s">
        <v>4164</v>
      </c>
      <c r="L578" s="12" t="s">
        <v>339</v>
      </c>
      <c r="M578" s="6" t="s">
        <v>86</v>
      </c>
    </row>
    <row r="580" spans="2:15" x14ac:dyDescent="0.25">
      <c r="B580" s="2" t="s">
        <v>341</v>
      </c>
      <c r="C580" s="322" t="s">
        <v>430</v>
      </c>
      <c r="D580" s="322"/>
      <c r="E580" s="322" t="s">
        <v>805</v>
      </c>
      <c r="F580" s="322"/>
      <c r="G580" s="228" t="s">
        <v>345</v>
      </c>
      <c r="H580" s="228"/>
      <c r="I580" s="228"/>
      <c r="J580" s="228"/>
      <c r="K580" s="228"/>
      <c r="L580" s="228"/>
      <c r="M580" s="228"/>
      <c r="O580" s="101" t="s">
        <v>732</v>
      </c>
    </row>
    <row r="581" spans="2:15" x14ac:dyDescent="0.25">
      <c r="C581" s="14"/>
      <c r="D581" s="14"/>
      <c r="E581" s="14"/>
      <c r="F581" s="14"/>
    </row>
    <row r="582" spans="2:15" x14ac:dyDescent="0.25">
      <c r="B582" s="11" t="s">
        <v>4165</v>
      </c>
      <c r="C582" s="252" t="s">
        <v>2242</v>
      </c>
      <c r="D582" s="252"/>
      <c r="E582" s="252" t="s">
        <v>4166</v>
      </c>
      <c r="F582" s="252"/>
      <c r="G582" s="14" t="s">
        <v>4167</v>
      </c>
      <c r="H582" s="14"/>
      <c r="O582" s="98">
        <v>0.15</v>
      </c>
    </row>
    <row r="583" spans="2:15" x14ac:dyDescent="0.25">
      <c r="B583" s="11" t="s">
        <v>4168</v>
      </c>
      <c r="C583" s="252"/>
      <c r="D583" s="252"/>
      <c r="E583" s="252"/>
      <c r="F583" s="252"/>
      <c r="G583" s="14" t="s">
        <v>4169</v>
      </c>
      <c r="H583" s="16"/>
      <c r="O583" s="98"/>
    </row>
    <row r="584" spans="2:15" x14ac:dyDescent="0.25">
      <c r="B584" s="1" t="s">
        <v>677</v>
      </c>
      <c r="C584" s="253" t="s">
        <v>392</v>
      </c>
      <c r="D584" s="253"/>
      <c r="E584" s="253" t="s">
        <v>789</v>
      </c>
      <c r="F584" s="253"/>
      <c r="G584" s="14" t="s">
        <v>4170</v>
      </c>
      <c r="H584" s="14"/>
      <c r="O584" s="98">
        <v>1.15E-2</v>
      </c>
    </row>
    <row r="585" spans="2:15" x14ac:dyDescent="0.25">
      <c r="B585" s="1"/>
      <c r="C585" s="253"/>
      <c r="D585" s="253"/>
      <c r="E585" s="253"/>
      <c r="F585" s="253"/>
      <c r="G585" s="14" t="s">
        <v>4171</v>
      </c>
      <c r="H585" s="14"/>
      <c r="O585" s="98"/>
    </row>
    <row r="586" spans="2:15" x14ac:dyDescent="0.25">
      <c r="B586" s="11" t="s">
        <v>548</v>
      </c>
      <c r="C586" s="252" t="s">
        <v>657</v>
      </c>
      <c r="D586" s="252"/>
      <c r="E586" s="252" t="s">
        <v>3028</v>
      </c>
      <c r="F586" s="252"/>
      <c r="G586" s="14" t="s">
        <v>4172</v>
      </c>
      <c r="H586" s="14"/>
      <c r="O586" s="109">
        <v>2.0000000000000001E-4</v>
      </c>
    </row>
    <row r="587" spans="2:15" ht="15.75" thickBot="1" x14ac:dyDescent="0.3">
      <c r="B587" s="11"/>
      <c r="C587" s="188"/>
      <c r="D587" s="188"/>
      <c r="E587" s="188"/>
      <c r="F587" s="188"/>
      <c r="G587" s="14" t="s">
        <v>4173</v>
      </c>
      <c r="H587" s="14"/>
      <c r="O587" s="98"/>
    </row>
    <row r="588" spans="2:15" x14ac:dyDescent="0.25">
      <c r="B588" s="217" t="s">
        <v>401</v>
      </c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9"/>
      <c r="O588" s="100">
        <f>SUM(O582:O586)</f>
        <v>0.16170000000000001</v>
      </c>
    </row>
    <row r="589" spans="2:15" x14ac:dyDescent="0.25">
      <c r="B589" s="3" t="s">
        <v>402</v>
      </c>
      <c r="C589" s="232" t="s">
        <v>403</v>
      </c>
      <c r="D589" s="232"/>
      <c r="E589" s="232" t="s">
        <v>467</v>
      </c>
      <c r="F589" s="232"/>
      <c r="G589" s="232" t="s">
        <v>405</v>
      </c>
      <c r="H589" s="232"/>
      <c r="I589" s="232" t="s">
        <v>406</v>
      </c>
      <c r="J589" s="232"/>
      <c r="K589" s="234" t="s">
        <v>468</v>
      </c>
      <c r="L589" s="235"/>
      <c r="M589" s="236"/>
    </row>
    <row r="590" spans="2:15" ht="15.75" thickBot="1" x14ac:dyDescent="0.3">
      <c r="B590" s="5"/>
      <c r="C590" s="237"/>
      <c r="D590" s="238"/>
      <c r="E590" s="239"/>
      <c r="F590" s="238"/>
      <c r="G590" s="240"/>
      <c r="H590" s="240"/>
      <c r="I590" s="240">
        <v>0.6</v>
      </c>
      <c r="J590" s="240"/>
      <c r="K590" s="242"/>
      <c r="L590" s="243"/>
      <c r="M590" s="244"/>
    </row>
    <row r="591" spans="2:15" ht="15.75" thickBot="1" x14ac:dyDescent="0.3">
      <c r="B591" s="1"/>
      <c r="C591" s="1"/>
      <c r="D591" s="1"/>
      <c r="E591" s="1"/>
      <c r="F591" s="1"/>
      <c r="G591" s="1"/>
      <c r="H591" s="1"/>
    </row>
    <row r="592" spans="2:15" x14ac:dyDescent="0.25">
      <c r="B592" s="217" t="s">
        <v>408</v>
      </c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9"/>
    </row>
    <row r="593" spans="2:13" x14ac:dyDescent="0.25">
      <c r="B593" s="3" t="s">
        <v>4174</v>
      </c>
      <c r="C593" s="232" t="s">
        <v>4175</v>
      </c>
      <c r="D593" s="232"/>
      <c r="E593" s="268" t="s">
        <v>4176</v>
      </c>
      <c r="F593" s="268"/>
      <c r="G593" s="232" t="s">
        <v>692</v>
      </c>
      <c r="H593" s="232"/>
      <c r="I593" s="232" t="s">
        <v>4177</v>
      </c>
      <c r="J593" s="232"/>
      <c r="K593" s="232" t="s">
        <v>4178</v>
      </c>
      <c r="L593" s="232"/>
      <c r="M593" s="269"/>
    </row>
    <row r="594" spans="2:13" ht="15.75" thickBot="1" x14ac:dyDescent="0.3">
      <c r="B594" s="5" t="s">
        <v>4179</v>
      </c>
      <c r="C594" s="237" t="s">
        <v>4180</v>
      </c>
      <c r="D594" s="238"/>
      <c r="E594" s="266" t="s">
        <v>4181</v>
      </c>
      <c r="F594" s="266"/>
      <c r="G594" s="240" t="s">
        <v>4182</v>
      </c>
      <c r="H594" s="240"/>
      <c r="I594" s="240" t="s">
        <v>4183</v>
      </c>
      <c r="J594" s="240"/>
      <c r="K594" s="240" t="s">
        <v>4184</v>
      </c>
      <c r="L594" s="240"/>
      <c r="M594" s="267"/>
    </row>
    <row r="596" spans="2:13" ht="23.25" x14ac:dyDescent="0.35">
      <c r="B596" s="29" t="s">
        <v>334</v>
      </c>
      <c r="C596" s="229" t="s">
        <v>97</v>
      </c>
      <c r="D596" s="229"/>
      <c r="E596" s="229"/>
      <c r="F596" s="229"/>
      <c r="G596" s="229"/>
      <c r="H596" s="229"/>
      <c r="I596" s="229"/>
    </row>
    <row r="597" spans="2:13" ht="18.75" x14ac:dyDescent="0.3">
      <c r="B597" s="12" t="s">
        <v>335</v>
      </c>
      <c r="C597" s="1" t="s">
        <v>2</v>
      </c>
      <c r="D597" s="228" t="s">
        <v>427</v>
      </c>
      <c r="E597" s="228"/>
      <c r="F597" s="1" t="s">
        <v>586</v>
      </c>
      <c r="L597" s="12" t="s">
        <v>339</v>
      </c>
      <c r="M597" s="6" t="s">
        <v>96</v>
      </c>
    </row>
    <row r="599" spans="2:13" x14ac:dyDescent="0.25">
      <c r="B599" s="2" t="s">
        <v>341</v>
      </c>
      <c r="C599" s="250" t="s">
        <v>4045</v>
      </c>
      <c r="D599" s="250"/>
      <c r="E599" s="250" t="s">
        <v>3774</v>
      </c>
      <c r="F599" s="250"/>
      <c r="G599" s="228" t="s">
        <v>345</v>
      </c>
      <c r="H599" s="228"/>
      <c r="I599" s="228"/>
      <c r="J599" s="228"/>
      <c r="K599" s="228"/>
      <c r="L599" s="228"/>
      <c r="M599" s="228"/>
    </row>
    <row r="601" spans="2:13" x14ac:dyDescent="0.25">
      <c r="B601" s="11" t="s">
        <v>4185</v>
      </c>
      <c r="C601" s="252" t="s">
        <v>4186</v>
      </c>
      <c r="D601" s="252"/>
      <c r="E601" s="252" t="s">
        <v>4187</v>
      </c>
      <c r="F601" s="252"/>
      <c r="G601" s="14" t="s">
        <v>4188</v>
      </c>
      <c r="H601" s="14"/>
    </row>
    <row r="602" spans="2:13" x14ac:dyDescent="0.25">
      <c r="B602" s="11"/>
      <c r="C602" s="188"/>
      <c r="D602" s="188"/>
      <c r="E602" s="188"/>
      <c r="F602" s="188"/>
      <c r="G602" s="14" t="s">
        <v>4189</v>
      </c>
      <c r="H602" s="14"/>
    </row>
    <row r="603" spans="2:13" x14ac:dyDescent="0.25">
      <c r="B603" s="1" t="s">
        <v>3331</v>
      </c>
      <c r="C603" s="253" t="s">
        <v>392</v>
      </c>
      <c r="D603" s="253"/>
      <c r="E603" s="253" t="s">
        <v>1497</v>
      </c>
      <c r="F603" s="253"/>
      <c r="G603" s="14" t="s">
        <v>4190</v>
      </c>
      <c r="H603" s="14"/>
    </row>
    <row r="604" spans="2:13" x14ac:dyDescent="0.25">
      <c r="B604" s="1"/>
      <c r="C604" s="189"/>
      <c r="D604" s="189"/>
      <c r="E604" s="189"/>
      <c r="F604" s="189"/>
      <c r="G604" s="14" t="s">
        <v>4191</v>
      </c>
      <c r="H604" s="14"/>
    </row>
    <row r="605" spans="2:13" x14ac:dyDescent="0.25">
      <c r="B605" s="11" t="s">
        <v>518</v>
      </c>
      <c r="C605" s="252" t="s">
        <v>516</v>
      </c>
      <c r="D605" s="252"/>
      <c r="E605" s="252" t="s">
        <v>891</v>
      </c>
      <c r="F605" s="252"/>
      <c r="G605" s="14" t="s">
        <v>4192</v>
      </c>
      <c r="H605" s="14"/>
    </row>
    <row r="606" spans="2:13" x14ac:dyDescent="0.25">
      <c r="B606" s="11"/>
      <c r="C606" s="188"/>
      <c r="D606" s="188"/>
      <c r="E606" s="188"/>
      <c r="F606" s="188"/>
      <c r="G606" s="14" t="s">
        <v>4193</v>
      </c>
      <c r="H606" s="14"/>
    </row>
    <row r="607" spans="2:13" x14ac:dyDescent="0.25">
      <c r="B607" s="1" t="s">
        <v>1046</v>
      </c>
      <c r="C607" s="253" t="s">
        <v>516</v>
      </c>
      <c r="D607" s="253"/>
      <c r="E607" s="253" t="s">
        <v>891</v>
      </c>
      <c r="F607" s="253"/>
      <c r="G607" s="14" t="s">
        <v>4194</v>
      </c>
      <c r="H607" s="14"/>
    </row>
    <row r="608" spans="2:13" x14ac:dyDescent="0.25">
      <c r="B608" s="1"/>
      <c r="C608" s="189"/>
      <c r="D608" s="189"/>
      <c r="E608" s="189"/>
      <c r="F608" s="189"/>
      <c r="G608" s="14" t="s">
        <v>4195</v>
      </c>
      <c r="H608" s="14"/>
    </row>
    <row r="609" spans="2:8" x14ac:dyDescent="0.25">
      <c r="B609" s="11" t="s">
        <v>4196</v>
      </c>
      <c r="C609" s="252" t="s">
        <v>516</v>
      </c>
      <c r="D609" s="252"/>
      <c r="E609" s="252" t="s">
        <v>891</v>
      </c>
      <c r="F609" s="252"/>
      <c r="G609" s="14" t="s">
        <v>4197</v>
      </c>
      <c r="H609" s="14"/>
    </row>
    <row r="610" spans="2:8" x14ac:dyDescent="0.25">
      <c r="B610" s="11"/>
      <c r="C610" s="252"/>
      <c r="D610" s="252"/>
      <c r="E610" s="252"/>
      <c r="F610" s="252"/>
      <c r="G610" s="14" t="s">
        <v>4198</v>
      </c>
      <c r="H610" s="14"/>
    </row>
    <row r="611" spans="2:8" x14ac:dyDescent="0.25">
      <c r="B611" s="1" t="s">
        <v>4199</v>
      </c>
      <c r="C611" s="253" t="s">
        <v>516</v>
      </c>
      <c r="D611" s="253"/>
      <c r="E611" s="253" t="s">
        <v>891</v>
      </c>
      <c r="F611" s="253"/>
      <c r="G611" s="14" t="s">
        <v>4200</v>
      </c>
      <c r="H611" s="14"/>
    </row>
    <row r="612" spans="2:8" x14ac:dyDescent="0.25">
      <c r="B612" s="1"/>
      <c r="C612" s="189"/>
      <c r="D612" s="189"/>
      <c r="E612" s="189"/>
      <c r="F612" s="189"/>
      <c r="G612" s="14" t="s">
        <v>4201</v>
      </c>
      <c r="H612" s="14"/>
    </row>
    <row r="613" spans="2:8" x14ac:dyDescent="0.25">
      <c r="B613" s="11" t="s">
        <v>4202</v>
      </c>
      <c r="C613" s="323" t="s">
        <v>392</v>
      </c>
      <c r="D613" s="323"/>
      <c r="E613" s="252" t="s">
        <v>368</v>
      </c>
      <c r="F613" s="252"/>
      <c r="G613" s="14"/>
      <c r="H613" s="14"/>
    </row>
    <row r="614" spans="2:8" x14ac:dyDescent="0.25">
      <c r="B614" s="11"/>
      <c r="C614" s="252"/>
      <c r="D614" s="252"/>
      <c r="E614" s="252"/>
      <c r="F614" s="252"/>
      <c r="G614" s="14"/>
      <c r="H614" s="14"/>
    </row>
    <row r="615" spans="2:8" x14ac:dyDescent="0.25">
      <c r="B615" s="1" t="s">
        <v>677</v>
      </c>
      <c r="C615" s="253" t="s">
        <v>744</v>
      </c>
      <c r="D615" s="253"/>
      <c r="E615" s="253" t="s">
        <v>972</v>
      </c>
      <c r="F615" s="253"/>
      <c r="G615" s="14"/>
      <c r="H615" s="14"/>
    </row>
    <row r="616" spans="2:8" x14ac:dyDescent="0.25">
      <c r="B616" s="1"/>
      <c r="C616" s="189"/>
      <c r="D616" s="189"/>
      <c r="E616" s="189"/>
      <c r="F616" s="189"/>
      <c r="G616" s="14"/>
      <c r="H616" s="14"/>
    </row>
    <row r="617" spans="2:8" x14ac:dyDescent="0.25">
      <c r="B617" s="11" t="s">
        <v>3853</v>
      </c>
      <c r="C617" s="252" t="s">
        <v>4203</v>
      </c>
      <c r="D617" s="252"/>
      <c r="E617" s="252" t="s">
        <v>596</v>
      </c>
      <c r="F617" s="252"/>
      <c r="G617" s="14"/>
      <c r="H617" s="14"/>
    </row>
    <row r="618" spans="2:8" x14ac:dyDescent="0.25">
      <c r="B618" s="11"/>
      <c r="C618" s="252"/>
      <c r="D618" s="252"/>
      <c r="E618" s="252"/>
      <c r="F618" s="252"/>
      <c r="G618" s="14"/>
      <c r="H618" s="14"/>
    </row>
    <row r="619" spans="2:8" x14ac:dyDescent="0.25">
      <c r="B619" s="1" t="s">
        <v>4204</v>
      </c>
      <c r="C619" s="253" t="s">
        <v>4205</v>
      </c>
      <c r="D619" s="253"/>
      <c r="E619" s="253" t="s">
        <v>504</v>
      </c>
      <c r="F619" s="253"/>
      <c r="G619" s="14"/>
      <c r="H619" s="14"/>
    </row>
    <row r="620" spans="2:8" x14ac:dyDescent="0.25">
      <c r="B620" s="1" t="s">
        <v>4206</v>
      </c>
      <c r="C620" s="189"/>
      <c r="D620" s="189"/>
      <c r="E620" s="189"/>
      <c r="F620" s="189"/>
      <c r="G620" s="14"/>
      <c r="H620" s="14"/>
    </row>
    <row r="621" spans="2:8" x14ac:dyDescent="0.25">
      <c r="B621" s="11" t="s">
        <v>4207</v>
      </c>
      <c r="C621" s="252" t="s">
        <v>438</v>
      </c>
      <c r="D621" s="252"/>
      <c r="E621" s="252" t="s">
        <v>2876</v>
      </c>
      <c r="F621" s="252"/>
      <c r="G621" s="14"/>
      <c r="H621" s="14"/>
    </row>
    <row r="622" spans="2:8" x14ac:dyDescent="0.25">
      <c r="B622" s="11"/>
      <c r="C622" s="252"/>
      <c r="D622" s="252"/>
      <c r="E622" s="252"/>
      <c r="F622" s="252"/>
      <c r="G622" s="15"/>
    </row>
    <row r="623" spans="2:8" x14ac:dyDescent="0.25">
      <c r="B623" s="1" t="s">
        <v>4208</v>
      </c>
      <c r="C623" s="253" t="s">
        <v>789</v>
      </c>
      <c r="D623" s="253"/>
      <c r="E623" s="253" t="s">
        <v>2718</v>
      </c>
      <c r="F623" s="253"/>
      <c r="G623" s="15"/>
    </row>
    <row r="624" spans="2:8" x14ac:dyDescent="0.25">
      <c r="B624" s="1" t="s">
        <v>869</v>
      </c>
      <c r="C624" s="189"/>
      <c r="D624" s="189"/>
      <c r="E624" s="189"/>
      <c r="F624" s="189"/>
      <c r="G624" s="15"/>
    </row>
    <row r="625" spans="2:13" x14ac:dyDescent="0.25">
      <c r="B625" s="11" t="s">
        <v>4209</v>
      </c>
      <c r="C625" s="252" t="s">
        <v>683</v>
      </c>
      <c r="D625" s="252"/>
      <c r="E625" s="252" t="s">
        <v>683</v>
      </c>
      <c r="F625" s="252"/>
      <c r="G625" s="15"/>
    </row>
    <row r="626" spans="2:13" x14ac:dyDescent="0.25">
      <c r="B626" s="11" t="s">
        <v>4210</v>
      </c>
      <c r="C626" s="188"/>
      <c r="D626" s="188"/>
      <c r="E626" s="188"/>
      <c r="F626" s="188"/>
      <c r="G626" s="15"/>
    </row>
    <row r="627" spans="2:13" x14ac:dyDescent="0.25">
      <c r="B627" s="1" t="s">
        <v>4211</v>
      </c>
      <c r="C627" s="253" t="s">
        <v>495</v>
      </c>
      <c r="D627" s="253"/>
      <c r="E627" s="253" t="s">
        <v>437</v>
      </c>
      <c r="F627" s="253"/>
      <c r="G627" s="15"/>
    </row>
    <row r="628" spans="2:13" ht="15.75" thickBot="1" x14ac:dyDescent="0.3">
      <c r="B628" s="24"/>
      <c r="C628" s="24"/>
      <c r="D628" s="24"/>
      <c r="E628" s="24"/>
      <c r="F628" s="24"/>
      <c r="G628" s="15"/>
    </row>
    <row r="629" spans="2:13" x14ac:dyDescent="0.25">
      <c r="B629" s="217" t="s">
        <v>401</v>
      </c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9"/>
    </row>
    <row r="630" spans="2:13" x14ac:dyDescent="0.25">
      <c r="B630" s="3" t="s">
        <v>402</v>
      </c>
      <c r="C630" s="232" t="s">
        <v>403</v>
      </c>
      <c r="D630" s="232"/>
      <c r="E630" s="232" t="s">
        <v>467</v>
      </c>
      <c r="F630" s="232"/>
      <c r="G630" s="232" t="s">
        <v>405</v>
      </c>
      <c r="H630" s="232"/>
      <c r="I630" s="232" t="s">
        <v>406</v>
      </c>
      <c r="J630" s="232"/>
      <c r="K630" s="234" t="s">
        <v>468</v>
      </c>
      <c r="L630" s="235"/>
      <c r="M630" s="236"/>
    </row>
    <row r="631" spans="2:13" ht="15.75" thickBot="1" x14ac:dyDescent="0.3">
      <c r="B631" s="5">
        <v>1.5</v>
      </c>
      <c r="C631" s="237"/>
      <c r="D631" s="238"/>
      <c r="E631" s="239">
        <v>0.25</v>
      </c>
      <c r="F631" s="238"/>
      <c r="G631" s="240"/>
      <c r="H631" s="240"/>
      <c r="I631" s="241"/>
      <c r="J631" s="241"/>
      <c r="K631" s="242"/>
      <c r="L631" s="243"/>
      <c r="M631" s="244"/>
    </row>
    <row r="632" spans="2:13" ht="15.75" thickBot="1" x14ac:dyDescent="0.3">
      <c r="B632" s="1"/>
      <c r="C632" s="1"/>
      <c r="D632" s="1"/>
      <c r="E632" s="1"/>
      <c r="F632" s="1"/>
      <c r="G632" s="1"/>
      <c r="H632" s="1"/>
    </row>
    <row r="633" spans="2:13" x14ac:dyDescent="0.25">
      <c r="B633" s="217" t="s">
        <v>408</v>
      </c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9"/>
    </row>
    <row r="634" spans="2:13" x14ac:dyDescent="0.25">
      <c r="B634" s="3" t="s">
        <v>4212</v>
      </c>
      <c r="C634" s="232" t="s">
        <v>4213</v>
      </c>
      <c r="D634" s="232"/>
      <c r="E634" s="268" t="s">
        <v>4214</v>
      </c>
      <c r="F634" s="268"/>
      <c r="G634" s="268" t="s">
        <v>4215</v>
      </c>
      <c r="H634" s="268"/>
      <c r="I634" s="232" t="s">
        <v>4216</v>
      </c>
      <c r="J634" s="232"/>
      <c r="K634" s="232" t="s">
        <v>4217</v>
      </c>
      <c r="L634" s="232"/>
      <c r="M634" s="269"/>
    </row>
    <row r="635" spans="2:13" ht="15.75" thickBot="1" x14ac:dyDescent="0.3">
      <c r="B635" s="5" t="s">
        <v>1181</v>
      </c>
      <c r="C635" s="237" t="s">
        <v>3659</v>
      </c>
      <c r="D635" s="238"/>
      <c r="E635" s="240" t="s">
        <v>4218</v>
      </c>
      <c r="F635" s="240"/>
      <c r="G635" s="240" t="s">
        <v>4219</v>
      </c>
      <c r="H635" s="240"/>
      <c r="I635" s="240" t="s">
        <v>4220</v>
      </c>
      <c r="J635" s="240"/>
      <c r="K635" s="240" t="s">
        <v>4221</v>
      </c>
      <c r="L635" s="240"/>
      <c r="M635" s="267"/>
    </row>
    <row r="637" spans="2:13" ht="23.25" x14ac:dyDescent="0.35">
      <c r="B637" s="29" t="s">
        <v>334</v>
      </c>
      <c r="C637" s="229" t="s">
        <v>102</v>
      </c>
      <c r="D637" s="229"/>
      <c r="E637" s="229"/>
      <c r="F637" s="229"/>
      <c r="G637" s="229"/>
      <c r="H637" s="229"/>
      <c r="I637" s="229"/>
      <c r="J637" s="229"/>
      <c r="K637" s="229"/>
      <c r="L637" s="229"/>
      <c r="M637" s="229"/>
    </row>
    <row r="638" spans="2:13" ht="18.75" x14ac:dyDescent="0.3">
      <c r="B638" s="12" t="s">
        <v>335</v>
      </c>
      <c r="C638" s="1" t="s">
        <v>2</v>
      </c>
      <c r="D638" s="228" t="s">
        <v>427</v>
      </c>
      <c r="E638" s="228"/>
      <c r="F638" s="1" t="s">
        <v>586</v>
      </c>
      <c r="L638" s="12" t="s">
        <v>339</v>
      </c>
      <c r="M638" s="6" t="s">
        <v>101</v>
      </c>
    </row>
    <row r="640" spans="2:13" x14ac:dyDescent="0.25">
      <c r="B640" s="2" t="s">
        <v>341</v>
      </c>
      <c r="C640" s="250" t="s">
        <v>429</v>
      </c>
      <c r="D640" s="250"/>
      <c r="E640" s="250" t="s">
        <v>430</v>
      </c>
      <c r="F640" s="250"/>
      <c r="G640" s="228" t="s">
        <v>345</v>
      </c>
      <c r="H640" s="228"/>
      <c r="I640" s="228"/>
      <c r="J640" s="228"/>
      <c r="K640" s="228"/>
      <c r="L640" s="228"/>
      <c r="M640" s="228"/>
    </row>
    <row r="642" spans="2:13" x14ac:dyDescent="0.25">
      <c r="B642" s="11" t="s">
        <v>4222</v>
      </c>
      <c r="C642" s="252" t="s">
        <v>4223</v>
      </c>
      <c r="D642" s="252"/>
      <c r="E642" s="252" t="s">
        <v>812</v>
      </c>
      <c r="F642" s="252"/>
      <c r="G642" s="14" t="s">
        <v>4224</v>
      </c>
      <c r="H642" s="14"/>
    </row>
    <row r="643" spans="2:13" x14ac:dyDescent="0.25">
      <c r="B643" s="11"/>
      <c r="C643" s="188"/>
      <c r="D643" s="188"/>
      <c r="E643" s="188"/>
      <c r="F643" s="188"/>
      <c r="G643" s="14" t="s">
        <v>4225</v>
      </c>
      <c r="H643" s="14"/>
    </row>
    <row r="644" spans="2:13" x14ac:dyDescent="0.25">
      <c r="B644" s="1" t="s">
        <v>4226</v>
      </c>
      <c r="C644" s="253" t="s">
        <v>4227</v>
      </c>
      <c r="D644" s="253"/>
      <c r="E644" s="253" t="s">
        <v>4228</v>
      </c>
      <c r="F644" s="253"/>
      <c r="G644" s="14"/>
      <c r="H644" s="14"/>
    </row>
    <row r="645" spans="2:13" x14ac:dyDescent="0.25">
      <c r="B645" s="1"/>
      <c r="C645" s="189"/>
      <c r="D645" s="189"/>
      <c r="E645" s="189"/>
      <c r="F645" s="189"/>
      <c r="G645" s="14"/>
      <c r="H645" s="14"/>
    </row>
    <row r="646" spans="2:13" x14ac:dyDescent="0.25">
      <c r="B646" s="11" t="s">
        <v>4229</v>
      </c>
      <c r="C646" s="252" t="s">
        <v>3914</v>
      </c>
      <c r="D646" s="252"/>
      <c r="E646" s="252" t="s">
        <v>465</v>
      </c>
      <c r="F646" s="252"/>
      <c r="G646" s="14"/>
      <c r="H646" s="14"/>
    </row>
    <row r="647" spans="2:13" x14ac:dyDescent="0.25">
      <c r="B647" s="11"/>
      <c r="C647" s="188"/>
      <c r="D647" s="188"/>
      <c r="E647" s="188"/>
      <c r="F647" s="188"/>
      <c r="G647" s="14"/>
      <c r="H647" s="14"/>
    </row>
    <row r="648" spans="2:13" x14ac:dyDescent="0.25">
      <c r="B648" s="1" t="s">
        <v>485</v>
      </c>
      <c r="C648" s="253" t="s">
        <v>4230</v>
      </c>
      <c r="D648" s="253"/>
      <c r="E648" s="253" t="s">
        <v>4231</v>
      </c>
      <c r="F648" s="253"/>
      <c r="G648" s="14"/>
      <c r="H648" s="14"/>
    </row>
    <row r="649" spans="2:13" ht="15.75" thickBot="1" x14ac:dyDescent="0.3">
      <c r="B649" s="1"/>
      <c r="C649" s="189"/>
      <c r="D649" s="189"/>
      <c r="E649" s="189"/>
      <c r="F649" s="189"/>
      <c r="G649" s="14"/>
      <c r="H649" s="14"/>
    </row>
    <row r="650" spans="2:13" x14ac:dyDescent="0.25">
      <c r="B650" s="217" t="s">
        <v>401</v>
      </c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9"/>
    </row>
    <row r="651" spans="2:13" x14ac:dyDescent="0.25">
      <c r="B651" s="3" t="s">
        <v>402</v>
      </c>
      <c r="C651" s="232" t="s">
        <v>403</v>
      </c>
      <c r="D651" s="232"/>
      <c r="E651" s="232" t="s">
        <v>467</v>
      </c>
      <c r="F651" s="232"/>
      <c r="G651" s="232" t="s">
        <v>405</v>
      </c>
      <c r="H651" s="232"/>
      <c r="I651" s="232" t="s">
        <v>406</v>
      </c>
      <c r="J651" s="232"/>
      <c r="K651" s="234" t="s">
        <v>468</v>
      </c>
      <c r="L651" s="235"/>
      <c r="M651" s="236"/>
    </row>
    <row r="652" spans="2:13" ht="15.75" thickBot="1" x14ac:dyDescent="0.3">
      <c r="B652" s="5">
        <v>0.5</v>
      </c>
      <c r="C652" s="237">
        <v>1</v>
      </c>
      <c r="D652" s="238"/>
      <c r="E652" s="239">
        <v>0.45</v>
      </c>
      <c r="F652" s="238"/>
      <c r="G652" s="240"/>
      <c r="H652" s="240"/>
      <c r="I652" s="241"/>
      <c r="J652" s="241"/>
      <c r="K652" s="242"/>
      <c r="L652" s="243"/>
      <c r="M652" s="244"/>
    </row>
    <row r="653" spans="2:13" ht="15.75" thickBot="1" x14ac:dyDescent="0.3">
      <c r="B653" s="1"/>
      <c r="C653" s="1"/>
      <c r="D653" s="1"/>
      <c r="E653" s="1"/>
      <c r="F653" s="1"/>
      <c r="G653" s="1"/>
      <c r="H653" s="1"/>
    </row>
    <row r="654" spans="2:13" x14ac:dyDescent="0.25">
      <c r="B654" s="217" t="s">
        <v>408</v>
      </c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9"/>
    </row>
    <row r="655" spans="2:13" x14ac:dyDescent="0.25">
      <c r="B655" s="3" t="s">
        <v>4232</v>
      </c>
      <c r="C655" s="232" t="s">
        <v>1329</v>
      </c>
      <c r="D655" s="232"/>
      <c r="E655" s="268" t="s">
        <v>2769</v>
      </c>
      <c r="F655" s="268"/>
      <c r="G655" s="268" t="s">
        <v>2770</v>
      </c>
      <c r="H655" s="268"/>
      <c r="I655" s="232" t="s">
        <v>4233</v>
      </c>
      <c r="J655" s="232"/>
      <c r="K655" s="232" t="s">
        <v>4234</v>
      </c>
      <c r="L655" s="232"/>
      <c r="M655" s="269"/>
    </row>
    <row r="656" spans="2:13" ht="15.75" thickBot="1" x14ac:dyDescent="0.3">
      <c r="B656" s="5" t="s">
        <v>4235</v>
      </c>
      <c r="C656" s="237" t="s">
        <v>2776</v>
      </c>
      <c r="D656" s="238"/>
      <c r="E656" s="240" t="s">
        <v>2777</v>
      </c>
      <c r="F656" s="240"/>
      <c r="G656" s="240" t="s">
        <v>4236</v>
      </c>
      <c r="H656" s="240"/>
      <c r="I656" s="240" t="s">
        <v>2778</v>
      </c>
      <c r="J656" s="240"/>
      <c r="K656" s="240" t="s">
        <v>4237</v>
      </c>
      <c r="L656" s="240"/>
      <c r="M656" s="267"/>
    </row>
    <row r="658" spans="2:13" ht="23.25" x14ac:dyDescent="0.35">
      <c r="B658" s="29" t="s">
        <v>334</v>
      </c>
      <c r="C658" s="229" t="s">
        <v>107</v>
      </c>
      <c r="D658" s="229"/>
      <c r="E658" s="229"/>
      <c r="F658" s="229"/>
      <c r="G658" s="229"/>
      <c r="H658" s="229"/>
      <c r="I658" s="229"/>
    </row>
    <row r="659" spans="2:13" ht="18.75" x14ac:dyDescent="0.3">
      <c r="B659" s="12" t="s">
        <v>335</v>
      </c>
      <c r="C659" s="1" t="s">
        <v>2</v>
      </c>
      <c r="D659" s="228" t="s">
        <v>427</v>
      </c>
      <c r="E659" s="228"/>
      <c r="F659" s="1" t="s">
        <v>4164</v>
      </c>
      <c r="L659" s="12" t="s">
        <v>339</v>
      </c>
      <c r="M659" s="6" t="s">
        <v>106</v>
      </c>
    </row>
    <row r="661" spans="2:13" x14ac:dyDescent="0.25">
      <c r="B661" s="2" t="s">
        <v>341</v>
      </c>
      <c r="C661" s="250" t="s">
        <v>430</v>
      </c>
      <c r="D661" s="250"/>
      <c r="E661" s="250" t="s">
        <v>805</v>
      </c>
      <c r="F661" s="250"/>
      <c r="G661" s="228" t="s">
        <v>345</v>
      </c>
      <c r="H661" s="228"/>
      <c r="I661" s="228"/>
      <c r="J661" s="228"/>
      <c r="K661" s="228"/>
      <c r="L661" s="228"/>
      <c r="M661" s="228"/>
    </row>
    <row r="663" spans="2:13" x14ac:dyDescent="0.25">
      <c r="B663" s="11" t="s">
        <v>1458</v>
      </c>
      <c r="C663" s="323" t="s">
        <v>374</v>
      </c>
      <c r="D663" s="323"/>
      <c r="E663" s="252" t="s">
        <v>1194</v>
      </c>
      <c r="F663" s="252"/>
      <c r="G663" s="14" t="s">
        <v>4238</v>
      </c>
      <c r="H663" s="14"/>
    </row>
    <row r="664" spans="2:13" x14ac:dyDescent="0.25">
      <c r="B664" s="11"/>
      <c r="C664" s="188"/>
      <c r="D664" s="188"/>
      <c r="E664" s="188"/>
      <c r="F664" s="188"/>
      <c r="G664" s="14" t="s">
        <v>4239</v>
      </c>
      <c r="H664" s="14"/>
    </row>
    <row r="665" spans="2:13" x14ac:dyDescent="0.25">
      <c r="B665" s="1" t="s">
        <v>4185</v>
      </c>
      <c r="C665" s="290" t="s">
        <v>466</v>
      </c>
      <c r="D665" s="290"/>
      <c r="E665" s="253" t="s">
        <v>820</v>
      </c>
      <c r="F665" s="253"/>
      <c r="G665" s="14" t="s">
        <v>4240</v>
      </c>
      <c r="H665" s="14"/>
    </row>
    <row r="666" spans="2:13" x14ac:dyDescent="0.25">
      <c r="B666" s="1"/>
      <c r="C666" s="189"/>
      <c r="D666" s="189"/>
      <c r="E666" s="189"/>
      <c r="F666" s="189"/>
      <c r="G666" s="14" t="s">
        <v>4241</v>
      </c>
      <c r="H666" s="14"/>
    </row>
    <row r="667" spans="2:13" x14ac:dyDescent="0.25">
      <c r="B667" s="11" t="s">
        <v>4242</v>
      </c>
      <c r="C667" s="323" t="s">
        <v>374</v>
      </c>
      <c r="D667" s="323"/>
      <c r="E667" s="252" t="s">
        <v>1194</v>
      </c>
      <c r="F667" s="252"/>
      <c r="G667" s="14" t="s">
        <v>4243</v>
      </c>
      <c r="H667" s="14"/>
    </row>
    <row r="668" spans="2:13" x14ac:dyDescent="0.25">
      <c r="B668" s="11" t="s">
        <v>4244</v>
      </c>
      <c r="C668" s="188"/>
      <c r="D668" s="188"/>
      <c r="E668" s="188"/>
      <c r="F668" s="188"/>
      <c r="G668" s="14" t="s">
        <v>4245</v>
      </c>
      <c r="H668" s="14"/>
    </row>
    <row r="669" spans="2:13" x14ac:dyDescent="0.25">
      <c r="B669" s="1" t="s">
        <v>2153</v>
      </c>
      <c r="C669" s="290" t="s">
        <v>504</v>
      </c>
      <c r="D669" s="290"/>
      <c r="E669" s="253" t="s">
        <v>2876</v>
      </c>
      <c r="F669" s="253"/>
      <c r="G669" s="14" t="s">
        <v>4246</v>
      </c>
      <c r="H669" s="14"/>
    </row>
    <row r="670" spans="2:13" x14ac:dyDescent="0.25">
      <c r="B670" s="1"/>
      <c r="C670" s="189"/>
      <c r="D670" s="189"/>
      <c r="E670" s="189"/>
      <c r="F670" s="189"/>
      <c r="G670" s="14" t="s">
        <v>4247</v>
      </c>
      <c r="H670" s="14"/>
    </row>
    <row r="671" spans="2:13" x14ac:dyDescent="0.25">
      <c r="B671" s="11" t="s">
        <v>4248</v>
      </c>
      <c r="C671" s="252" t="s">
        <v>1654</v>
      </c>
      <c r="D671" s="252"/>
      <c r="E671" s="252" t="s">
        <v>1654</v>
      </c>
      <c r="F671" s="252"/>
      <c r="G671" s="14" t="s">
        <v>4249</v>
      </c>
      <c r="H671" s="14"/>
    </row>
    <row r="672" spans="2:13" x14ac:dyDescent="0.25">
      <c r="B672" s="11"/>
      <c r="C672" s="188"/>
      <c r="D672" s="188"/>
      <c r="E672" s="252"/>
      <c r="F672" s="252"/>
      <c r="G672" s="14"/>
      <c r="H672" s="14"/>
    </row>
    <row r="673" spans="2:15" x14ac:dyDescent="0.25">
      <c r="B673" s="1" t="s">
        <v>4250</v>
      </c>
      <c r="C673" s="253" t="s">
        <v>866</v>
      </c>
      <c r="D673" s="253"/>
      <c r="E673" s="253" t="s">
        <v>4251</v>
      </c>
      <c r="F673" s="253"/>
      <c r="G673" s="14"/>
      <c r="H673" s="14"/>
    </row>
    <row r="674" spans="2:15" ht="15.75" thickBot="1" x14ac:dyDescent="0.3">
      <c r="B674" s="1" t="s">
        <v>4252</v>
      </c>
      <c r="C674" s="189"/>
      <c r="D674" s="189"/>
      <c r="E674" s="189"/>
      <c r="F674" s="189"/>
      <c r="G674" s="14"/>
      <c r="H674" s="14"/>
    </row>
    <row r="675" spans="2:15" x14ac:dyDescent="0.25">
      <c r="B675" s="217" t="s">
        <v>401</v>
      </c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9"/>
    </row>
    <row r="676" spans="2:15" x14ac:dyDescent="0.25">
      <c r="B676" s="3" t="s">
        <v>402</v>
      </c>
      <c r="C676" s="232" t="s">
        <v>403</v>
      </c>
      <c r="D676" s="232"/>
      <c r="E676" s="232" t="s">
        <v>467</v>
      </c>
      <c r="F676" s="232"/>
      <c r="G676" s="232" t="s">
        <v>405</v>
      </c>
      <c r="H676" s="232"/>
      <c r="I676" s="232" t="s">
        <v>406</v>
      </c>
      <c r="J676" s="232"/>
      <c r="K676" s="234" t="s">
        <v>468</v>
      </c>
      <c r="L676" s="235"/>
      <c r="M676" s="236"/>
    </row>
    <row r="677" spans="2:15" ht="15.75" thickBot="1" x14ac:dyDescent="0.3">
      <c r="B677" s="5">
        <v>2</v>
      </c>
      <c r="C677" s="237"/>
      <c r="D677" s="238"/>
      <c r="E677" s="239">
        <v>0.375</v>
      </c>
      <c r="F677" s="238"/>
      <c r="G677" s="240"/>
      <c r="H677" s="240"/>
      <c r="I677" s="241"/>
      <c r="J677" s="241"/>
      <c r="K677" s="242"/>
      <c r="L677" s="243"/>
      <c r="M677" s="244"/>
    </row>
    <row r="678" spans="2:15" ht="15.75" thickBot="1" x14ac:dyDescent="0.3">
      <c r="B678" s="1"/>
      <c r="C678" s="1"/>
      <c r="D678" s="1"/>
      <c r="E678" s="1"/>
      <c r="F678" s="1"/>
      <c r="G678" s="1"/>
      <c r="H678" s="1"/>
    </row>
    <row r="679" spans="2:15" x14ac:dyDescent="0.25">
      <c r="B679" s="217" t="s">
        <v>408</v>
      </c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9"/>
    </row>
    <row r="680" spans="2:15" x14ac:dyDescent="0.25">
      <c r="B680" s="3" t="s">
        <v>4253</v>
      </c>
      <c r="C680" s="232" t="s">
        <v>4254</v>
      </c>
      <c r="D680" s="232"/>
      <c r="E680" s="268" t="s">
        <v>4255</v>
      </c>
      <c r="F680" s="268"/>
      <c r="G680" s="268" t="s">
        <v>4256</v>
      </c>
      <c r="H680" s="268"/>
      <c r="I680" s="232" t="s">
        <v>4257</v>
      </c>
      <c r="J680" s="232"/>
      <c r="K680" s="232" t="s">
        <v>4258</v>
      </c>
      <c r="L680" s="232"/>
      <c r="M680" s="269"/>
    </row>
    <row r="681" spans="2:15" ht="15.75" thickBot="1" x14ac:dyDescent="0.3">
      <c r="B681" s="5" t="s">
        <v>1181</v>
      </c>
      <c r="C681" s="237" t="s">
        <v>4259</v>
      </c>
      <c r="D681" s="238"/>
      <c r="E681" s="240" t="s">
        <v>2777</v>
      </c>
      <c r="F681" s="240"/>
      <c r="G681" s="240" t="s">
        <v>3247</v>
      </c>
      <c r="H681" s="240"/>
      <c r="I681" s="240" t="s">
        <v>2778</v>
      </c>
      <c r="J681" s="240"/>
      <c r="K681" s="240" t="s">
        <v>2775</v>
      </c>
      <c r="L681" s="240"/>
      <c r="M681" s="267"/>
    </row>
    <row r="683" spans="2:15" ht="23.25" x14ac:dyDescent="0.35">
      <c r="B683" s="29" t="s">
        <v>334</v>
      </c>
      <c r="C683" s="229" t="s">
        <v>7</v>
      </c>
      <c r="D683" s="229"/>
      <c r="E683" s="229"/>
      <c r="F683" s="229"/>
      <c r="G683" s="229"/>
      <c r="H683" s="229"/>
      <c r="I683" s="229"/>
      <c r="J683" s="229"/>
      <c r="K683" s="229"/>
    </row>
    <row r="684" spans="2:15" ht="18" x14ac:dyDescent="0.25">
      <c r="B684" s="12" t="s">
        <v>335</v>
      </c>
      <c r="C684" s="1" t="s">
        <v>2</v>
      </c>
      <c r="F684" s="228" t="s">
        <v>427</v>
      </c>
      <c r="G684" s="228"/>
      <c r="H684" s="1" t="s">
        <v>4260</v>
      </c>
      <c r="L684" s="12" t="s">
        <v>339</v>
      </c>
      <c r="M684" s="78" t="s">
        <v>6</v>
      </c>
    </row>
    <row r="686" spans="2:15" x14ac:dyDescent="0.25">
      <c r="B686" s="2" t="s">
        <v>341</v>
      </c>
      <c r="C686" s="250" t="s">
        <v>4261</v>
      </c>
      <c r="D686" s="250"/>
      <c r="E686" s="250" t="s">
        <v>4262</v>
      </c>
      <c r="F686" s="250"/>
      <c r="G686" s="228" t="s">
        <v>345</v>
      </c>
      <c r="H686" s="228"/>
      <c r="I686" s="228"/>
      <c r="J686" s="228"/>
      <c r="K686" s="228"/>
      <c r="L686" s="228"/>
      <c r="M686" s="228"/>
      <c r="O686" s="101" t="s">
        <v>732</v>
      </c>
    </row>
    <row r="688" spans="2:15" x14ac:dyDescent="0.25">
      <c r="B688" s="11" t="s">
        <v>4263</v>
      </c>
      <c r="C688" s="252" t="s">
        <v>1194</v>
      </c>
      <c r="D688" s="252"/>
      <c r="E688" s="252" t="s">
        <v>602</v>
      </c>
      <c r="F688" s="252"/>
      <c r="G688" s="14" t="s">
        <v>4264</v>
      </c>
      <c r="H688" s="14"/>
      <c r="O688" s="98">
        <v>0.04</v>
      </c>
    </row>
    <row r="689" spans="2:15" x14ac:dyDescent="0.25">
      <c r="B689" s="11"/>
      <c r="C689" s="188"/>
      <c r="D689" s="188"/>
      <c r="E689" s="188"/>
      <c r="F689" s="188"/>
      <c r="G689" s="14" t="s">
        <v>4265</v>
      </c>
      <c r="H689" s="14"/>
      <c r="O689" s="98"/>
    </row>
    <row r="690" spans="2:15" x14ac:dyDescent="0.25">
      <c r="B690" s="1" t="s">
        <v>660</v>
      </c>
      <c r="C690" s="290" t="s">
        <v>399</v>
      </c>
      <c r="D690" s="290"/>
      <c r="E690" s="290" t="s">
        <v>1209</v>
      </c>
      <c r="F690" s="290"/>
      <c r="G690" s="14" t="s">
        <v>4266</v>
      </c>
      <c r="H690" s="14"/>
      <c r="O690" s="98">
        <v>1.24E-2</v>
      </c>
    </row>
    <row r="691" spans="2:15" x14ac:dyDescent="0.25">
      <c r="B691" s="1"/>
      <c r="C691" s="189"/>
      <c r="D691" s="189"/>
      <c r="E691" s="189"/>
      <c r="F691" s="189"/>
      <c r="G691" s="14" t="s">
        <v>4267</v>
      </c>
      <c r="H691" s="14"/>
      <c r="O691" s="98"/>
    </row>
    <row r="692" spans="2:15" x14ac:dyDescent="0.25">
      <c r="B692" s="11" t="s">
        <v>3912</v>
      </c>
      <c r="C692" s="252" t="s">
        <v>2587</v>
      </c>
      <c r="D692" s="252"/>
      <c r="E692" s="323" t="s">
        <v>1708</v>
      </c>
      <c r="F692" s="323"/>
      <c r="G692" s="14" t="s">
        <v>4268</v>
      </c>
      <c r="H692" s="14"/>
      <c r="O692" s="98">
        <v>1.4200000000000001E-2</v>
      </c>
    </row>
    <row r="693" spans="2:15" x14ac:dyDescent="0.25">
      <c r="B693" s="11"/>
      <c r="C693" s="188"/>
      <c r="D693" s="188"/>
      <c r="E693" s="188"/>
      <c r="F693" s="188"/>
      <c r="G693" s="14" t="s">
        <v>4269</v>
      </c>
      <c r="H693" s="14"/>
      <c r="O693" s="98"/>
    </row>
    <row r="694" spans="2:15" x14ac:dyDescent="0.25">
      <c r="B694" s="1" t="s">
        <v>3991</v>
      </c>
      <c r="C694" s="290" t="s">
        <v>486</v>
      </c>
      <c r="D694" s="290"/>
      <c r="E694" s="290" t="s">
        <v>744</v>
      </c>
      <c r="F694" s="290"/>
      <c r="G694" s="14" t="s">
        <v>4270</v>
      </c>
      <c r="H694" s="14"/>
      <c r="O694" s="102">
        <v>6.2500000000000001E-4</v>
      </c>
    </row>
    <row r="695" spans="2:15" x14ac:dyDescent="0.25">
      <c r="B695" s="1"/>
      <c r="C695" s="189"/>
      <c r="D695" s="189"/>
      <c r="E695" s="189"/>
      <c r="F695" s="189"/>
      <c r="G695" s="14" t="s">
        <v>4271</v>
      </c>
      <c r="H695" s="14"/>
      <c r="O695" s="98"/>
    </row>
    <row r="696" spans="2:15" x14ac:dyDescent="0.25">
      <c r="B696" s="11" t="s">
        <v>652</v>
      </c>
      <c r="C696" s="252" t="s">
        <v>400</v>
      </c>
      <c r="D696" s="252"/>
      <c r="E696" s="252" t="s">
        <v>1711</v>
      </c>
      <c r="F696" s="252"/>
      <c r="G696" s="14" t="s">
        <v>4272</v>
      </c>
      <c r="O696" s="102">
        <v>4.45E-3</v>
      </c>
    </row>
    <row r="697" spans="2:15" x14ac:dyDescent="0.25">
      <c r="B697" s="11"/>
      <c r="C697" s="188"/>
      <c r="D697" s="188"/>
      <c r="E697" s="188"/>
      <c r="F697" s="188"/>
      <c r="O697" s="98"/>
    </row>
    <row r="698" spans="2:15" x14ac:dyDescent="0.25">
      <c r="B698" s="1" t="s">
        <v>1946</v>
      </c>
      <c r="C698" s="290" t="s">
        <v>602</v>
      </c>
      <c r="D698" s="290"/>
      <c r="E698" s="290" t="s">
        <v>603</v>
      </c>
      <c r="F698" s="290"/>
      <c r="G698" s="14"/>
      <c r="O698" s="98">
        <v>8.8999999999999999E-3</v>
      </c>
    </row>
    <row r="699" spans="2:15" x14ac:dyDescent="0.25">
      <c r="B699" s="1"/>
      <c r="C699" s="189"/>
      <c r="D699" s="189"/>
      <c r="E699" s="189"/>
      <c r="F699" s="189"/>
      <c r="G699" s="14"/>
      <c r="O699" s="98"/>
    </row>
    <row r="700" spans="2:15" x14ac:dyDescent="0.25">
      <c r="B700" s="11" t="s">
        <v>1840</v>
      </c>
      <c r="C700" s="252" t="s">
        <v>517</v>
      </c>
      <c r="D700" s="252"/>
      <c r="E700" s="252" t="s">
        <v>514</v>
      </c>
      <c r="F700" s="252"/>
      <c r="G700" s="14"/>
      <c r="O700" s="98">
        <v>1.4500000000000001E-2</v>
      </c>
    </row>
    <row r="701" spans="2:15" x14ac:dyDescent="0.25">
      <c r="B701" s="11"/>
      <c r="C701" s="188"/>
      <c r="D701" s="188"/>
      <c r="E701" s="188"/>
      <c r="F701" s="188"/>
      <c r="G701" s="14"/>
      <c r="O701" s="98"/>
    </row>
    <row r="702" spans="2:15" x14ac:dyDescent="0.25">
      <c r="B702" s="1" t="s">
        <v>518</v>
      </c>
      <c r="C702" s="290" t="s">
        <v>513</v>
      </c>
      <c r="D702" s="290"/>
      <c r="E702" s="290" t="s">
        <v>517</v>
      </c>
      <c r="F702" s="290"/>
      <c r="G702" s="14"/>
      <c r="H702" s="14"/>
      <c r="I702" s="14"/>
      <c r="O702" s="103">
        <v>8.0000000000000007E-5</v>
      </c>
    </row>
    <row r="703" spans="2:15" x14ac:dyDescent="0.25">
      <c r="B703" s="1"/>
      <c r="C703" s="199"/>
      <c r="D703" s="199"/>
      <c r="E703" s="199"/>
      <c r="F703" s="199"/>
      <c r="G703" s="14"/>
      <c r="H703" s="14"/>
      <c r="I703" s="14"/>
      <c r="O703" s="98"/>
    </row>
    <row r="704" spans="2:15" x14ac:dyDescent="0.25">
      <c r="B704" s="11" t="s">
        <v>4273</v>
      </c>
      <c r="C704" s="323" t="s">
        <v>1127</v>
      </c>
      <c r="D704" s="323"/>
      <c r="E704" s="323" t="s">
        <v>1960</v>
      </c>
      <c r="F704" s="323"/>
      <c r="G704" s="14"/>
      <c r="H704" s="14"/>
      <c r="I704" s="14"/>
      <c r="O704" s="99">
        <v>0.17549999999999999</v>
      </c>
    </row>
    <row r="705" spans="2:15" ht="15.75" thickBot="1" x14ac:dyDescent="0.3">
      <c r="B705" s="11"/>
      <c r="C705" s="188"/>
      <c r="D705" s="188"/>
      <c r="E705" s="188"/>
      <c r="F705" s="188"/>
      <c r="G705" s="14"/>
      <c r="H705" s="14"/>
      <c r="O705" s="98"/>
    </row>
    <row r="706" spans="2:15" x14ac:dyDescent="0.25">
      <c r="B706" s="274" t="s">
        <v>401</v>
      </c>
      <c r="C706" s="275"/>
      <c r="D706" s="275"/>
      <c r="E706" s="275"/>
      <c r="F706" s="275"/>
      <c r="G706" s="275"/>
      <c r="H706" s="275"/>
      <c r="I706" s="275"/>
      <c r="J706" s="275"/>
      <c r="K706" s="275"/>
      <c r="L706" s="275"/>
      <c r="M706" s="276"/>
      <c r="O706" s="100">
        <f>SUM(O688:O704)</f>
        <v>0.27065499999999998</v>
      </c>
    </row>
    <row r="707" spans="2:15" x14ac:dyDescent="0.25">
      <c r="B707" s="3" t="s">
        <v>402</v>
      </c>
      <c r="C707" s="232" t="s">
        <v>403</v>
      </c>
      <c r="D707" s="232"/>
      <c r="E707" s="232" t="s">
        <v>467</v>
      </c>
      <c r="F707" s="232"/>
      <c r="G707" s="232" t="s">
        <v>405</v>
      </c>
      <c r="H707" s="232"/>
      <c r="I707" s="232" t="s">
        <v>406</v>
      </c>
      <c r="J707" s="232"/>
      <c r="K707" s="234" t="s">
        <v>468</v>
      </c>
      <c r="L707" s="235"/>
      <c r="M707" s="236"/>
    </row>
    <row r="708" spans="2:15" ht="15.75" thickBot="1" x14ac:dyDescent="0.3">
      <c r="B708" s="5">
        <v>0.4</v>
      </c>
      <c r="C708" s="237">
        <v>2</v>
      </c>
      <c r="D708" s="238"/>
      <c r="E708" s="239"/>
      <c r="F708" s="238"/>
      <c r="G708" s="240"/>
      <c r="H708" s="240"/>
      <c r="I708" s="241"/>
      <c r="J708" s="241"/>
      <c r="K708" s="242"/>
      <c r="L708" s="243"/>
      <c r="M708" s="244"/>
    </row>
    <row r="709" spans="2:15" x14ac:dyDescent="0.25">
      <c r="B709" s="1"/>
      <c r="C709" s="1"/>
      <c r="D709" s="1"/>
      <c r="E709" s="1"/>
      <c r="F709" s="1"/>
      <c r="G709" s="1"/>
      <c r="H709" s="1"/>
    </row>
    <row r="710" spans="2:15" x14ac:dyDescent="0.25">
      <c r="B710" s="217" t="s">
        <v>408</v>
      </c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9"/>
    </row>
    <row r="711" spans="2:15" x14ac:dyDescent="0.25">
      <c r="B711" s="122" t="s">
        <v>4274</v>
      </c>
      <c r="C711" s="220" t="s">
        <v>4275</v>
      </c>
      <c r="D711" s="220"/>
      <c r="E711" s="221" t="s">
        <v>1245</v>
      </c>
      <c r="F711" s="221"/>
      <c r="G711" s="221" t="s">
        <v>4276</v>
      </c>
      <c r="H711" s="221"/>
      <c r="I711" s="220" t="s">
        <v>4277</v>
      </c>
      <c r="J711" s="220"/>
      <c r="K711" s="220" t="s">
        <v>4278</v>
      </c>
      <c r="L711" s="220"/>
      <c r="M711" s="222"/>
    </row>
    <row r="712" spans="2:15" x14ac:dyDescent="0.25">
      <c r="B712" s="124" t="s">
        <v>565</v>
      </c>
      <c r="C712" s="245" t="s">
        <v>4279</v>
      </c>
      <c r="D712" s="246"/>
      <c r="E712" s="247" t="s">
        <v>3569</v>
      </c>
      <c r="F712" s="247"/>
      <c r="G712" s="247" t="s">
        <v>4280</v>
      </c>
      <c r="H712" s="247"/>
      <c r="I712" s="248" t="s">
        <v>569</v>
      </c>
      <c r="J712" s="248"/>
      <c r="K712" s="247" t="s">
        <v>4281</v>
      </c>
      <c r="L712" s="247"/>
      <c r="M712" s="249"/>
    </row>
    <row r="713" spans="2:15" x14ac:dyDescent="0.25">
      <c r="B713" s="168" t="s">
        <v>4282</v>
      </c>
      <c r="C713" s="257" t="s">
        <v>422</v>
      </c>
      <c r="D713" s="258"/>
      <c r="E713" s="259" t="s">
        <v>3666</v>
      </c>
      <c r="F713" s="259"/>
      <c r="G713" s="260" t="s">
        <v>424</v>
      </c>
      <c r="H713" s="260"/>
      <c r="I713" s="260" t="s">
        <v>4283</v>
      </c>
      <c r="J713" s="260"/>
      <c r="K713" s="260"/>
      <c r="L713" s="260"/>
      <c r="M713" s="261"/>
    </row>
  </sheetData>
  <mergeCells count="1109">
    <mergeCell ref="C139:D139"/>
    <mergeCell ref="E139:F139"/>
    <mergeCell ref="G139:H139"/>
    <mergeCell ref="I139:J139"/>
    <mergeCell ref="K139:M139"/>
    <mergeCell ref="G289:H289"/>
    <mergeCell ref="G290:H290"/>
    <mergeCell ref="G292:H292"/>
    <mergeCell ref="G294:H294"/>
    <mergeCell ref="G296:H296"/>
    <mergeCell ref="G298:H298"/>
    <mergeCell ref="G300:H300"/>
    <mergeCell ref="I276:M276"/>
    <mergeCell ref="I145:M145"/>
    <mergeCell ref="G145:H145"/>
    <mergeCell ref="G147:H147"/>
    <mergeCell ref="G149:H149"/>
    <mergeCell ref="G151:H151"/>
    <mergeCell ref="G153:H153"/>
    <mergeCell ref="G155:H155"/>
    <mergeCell ref="G157:H157"/>
    <mergeCell ref="G159:H159"/>
    <mergeCell ref="G161:H161"/>
    <mergeCell ref="G163:H163"/>
    <mergeCell ref="G165:H165"/>
    <mergeCell ref="I267:J267"/>
    <mergeCell ref="K267:M267"/>
    <mergeCell ref="B269:M269"/>
    <mergeCell ref="C244:K244"/>
    <mergeCell ref="D245:E245"/>
    <mergeCell ref="C247:D247"/>
    <mergeCell ref="C249:D249"/>
    <mergeCell ref="C251:D251"/>
    <mergeCell ref="E247:F247"/>
    <mergeCell ref="G278:H278"/>
    <mergeCell ref="G280:H280"/>
    <mergeCell ref="G281:H281"/>
    <mergeCell ref="C681:D681"/>
    <mergeCell ref="E681:F681"/>
    <mergeCell ref="G681:H681"/>
    <mergeCell ref="I681:J681"/>
    <mergeCell ref="B710:M710"/>
    <mergeCell ref="C711:D711"/>
    <mergeCell ref="E711:F711"/>
    <mergeCell ref="G711:H711"/>
    <mergeCell ref="I711:J711"/>
    <mergeCell ref="K711:M711"/>
    <mergeCell ref="C713:D713"/>
    <mergeCell ref="E713:F713"/>
    <mergeCell ref="G713:H713"/>
    <mergeCell ref="I713:J713"/>
    <mergeCell ref="K713:M713"/>
    <mergeCell ref="C702:D702"/>
    <mergeCell ref="E702:F702"/>
    <mergeCell ref="B706:M706"/>
    <mergeCell ref="C707:D707"/>
    <mergeCell ref="E707:F707"/>
    <mergeCell ref="G707:H707"/>
    <mergeCell ref="I707:J707"/>
    <mergeCell ref="K707:M707"/>
    <mergeCell ref="C708:D708"/>
    <mergeCell ref="E708:F708"/>
    <mergeCell ref="G708:H708"/>
    <mergeCell ref="I708:J708"/>
    <mergeCell ref="K708:M708"/>
    <mergeCell ref="C704:D704"/>
    <mergeCell ref="E704:F704"/>
    <mergeCell ref="C669:D669"/>
    <mergeCell ref="E669:F669"/>
    <mergeCell ref="C663:D663"/>
    <mergeCell ref="E663:F663"/>
    <mergeCell ref="G284:H284"/>
    <mergeCell ref="G286:H286"/>
    <mergeCell ref="G288:H288"/>
    <mergeCell ref="C692:D692"/>
    <mergeCell ref="E692:F692"/>
    <mergeCell ref="C694:D694"/>
    <mergeCell ref="E694:F694"/>
    <mergeCell ref="C696:D696"/>
    <mergeCell ref="E696:F696"/>
    <mergeCell ref="C698:D698"/>
    <mergeCell ref="E698:F698"/>
    <mergeCell ref="C700:D700"/>
    <mergeCell ref="E700:F700"/>
    <mergeCell ref="C683:K683"/>
    <mergeCell ref="F684:G684"/>
    <mergeCell ref="C686:D686"/>
    <mergeCell ref="E686:F686"/>
    <mergeCell ref="G686:M686"/>
    <mergeCell ref="C688:D688"/>
    <mergeCell ref="E688:F688"/>
    <mergeCell ref="C690:D690"/>
    <mergeCell ref="E690:F690"/>
    <mergeCell ref="B679:M679"/>
    <mergeCell ref="C680:D680"/>
    <mergeCell ref="E680:F680"/>
    <mergeCell ref="G680:H680"/>
    <mergeCell ref="I680:J680"/>
    <mergeCell ref="K680:M680"/>
    <mergeCell ref="B654:M654"/>
    <mergeCell ref="C655:D655"/>
    <mergeCell ref="E655:F655"/>
    <mergeCell ref="G655:H655"/>
    <mergeCell ref="I655:J655"/>
    <mergeCell ref="K655:M655"/>
    <mergeCell ref="C658:I658"/>
    <mergeCell ref="D659:E659"/>
    <mergeCell ref="C661:D661"/>
    <mergeCell ref="E661:F661"/>
    <mergeCell ref="G661:M661"/>
    <mergeCell ref="C665:D665"/>
    <mergeCell ref="E665:F665"/>
    <mergeCell ref="K681:M681"/>
    <mergeCell ref="C676:D676"/>
    <mergeCell ref="E676:F676"/>
    <mergeCell ref="G676:H676"/>
    <mergeCell ref="I676:J676"/>
    <mergeCell ref="K676:M676"/>
    <mergeCell ref="C677:D677"/>
    <mergeCell ref="E677:F677"/>
    <mergeCell ref="G677:H677"/>
    <mergeCell ref="I677:J677"/>
    <mergeCell ref="K677:M677"/>
    <mergeCell ref="B675:M675"/>
    <mergeCell ref="C671:D671"/>
    <mergeCell ref="E671:F671"/>
    <mergeCell ref="E672:F672"/>
    <mergeCell ref="C673:D673"/>
    <mergeCell ref="E673:F673"/>
    <mergeCell ref="C667:D667"/>
    <mergeCell ref="E667:F667"/>
    <mergeCell ref="C630:D630"/>
    <mergeCell ref="E630:F630"/>
    <mergeCell ref="C646:D646"/>
    <mergeCell ref="E646:F646"/>
    <mergeCell ref="C648:D648"/>
    <mergeCell ref="E648:F648"/>
    <mergeCell ref="B650:M650"/>
    <mergeCell ref="C651:D651"/>
    <mergeCell ref="E651:F651"/>
    <mergeCell ref="G651:H651"/>
    <mergeCell ref="I651:J651"/>
    <mergeCell ref="K651:M651"/>
    <mergeCell ref="C652:D652"/>
    <mergeCell ref="E652:F652"/>
    <mergeCell ref="G652:H652"/>
    <mergeCell ref="I652:J652"/>
    <mergeCell ref="K652:M652"/>
    <mergeCell ref="G630:H630"/>
    <mergeCell ref="I630:J630"/>
    <mergeCell ref="K630:M630"/>
    <mergeCell ref="C631:D631"/>
    <mergeCell ref="E631:F631"/>
    <mergeCell ref="G631:H631"/>
    <mergeCell ref="I631:J631"/>
    <mergeCell ref="K631:M631"/>
    <mergeCell ref="C623:D623"/>
    <mergeCell ref="E623:F623"/>
    <mergeCell ref="C656:D656"/>
    <mergeCell ref="E656:F656"/>
    <mergeCell ref="G656:H656"/>
    <mergeCell ref="I656:J656"/>
    <mergeCell ref="K656:M656"/>
    <mergeCell ref="D638:E638"/>
    <mergeCell ref="C640:D640"/>
    <mergeCell ref="E640:F640"/>
    <mergeCell ref="G640:M640"/>
    <mergeCell ref="C642:D642"/>
    <mergeCell ref="E642:F642"/>
    <mergeCell ref="C644:D644"/>
    <mergeCell ref="E644:F644"/>
    <mergeCell ref="C637:M637"/>
    <mergeCell ref="C625:D625"/>
    <mergeCell ref="E625:F625"/>
    <mergeCell ref="C627:D627"/>
    <mergeCell ref="E627:F627"/>
    <mergeCell ref="B633:M633"/>
    <mergeCell ref="C634:D634"/>
    <mergeCell ref="E634:F634"/>
    <mergeCell ref="G634:H634"/>
    <mergeCell ref="I634:J634"/>
    <mergeCell ref="K634:M634"/>
    <mergeCell ref="C635:D635"/>
    <mergeCell ref="E635:F635"/>
    <mergeCell ref="G635:H635"/>
    <mergeCell ref="I635:J635"/>
    <mergeCell ref="K635:M635"/>
    <mergeCell ref="B629:M629"/>
    <mergeCell ref="C605:D605"/>
    <mergeCell ref="E605:F605"/>
    <mergeCell ref="C607:D607"/>
    <mergeCell ref="E607:F607"/>
    <mergeCell ref="C609:D609"/>
    <mergeCell ref="E609:F609"/>
    <mergeCell ref="C611:D611"/>
    <mergeCell ref="E611:F611"/>
    <mergeCell ref="C613:D613"/>
    <mergeCell ref="E613:F613"/>
    <mergeCell ref="C610:D610"/>
    <mergeCell ref="E610:F610"/>
    <mergeCell ref="C614:D614"/>
    <mergeCell ref="E614:F614"/>
    <mergeCell ref="C618:D618"/>
    <mergeCell ref="E618:F618"/>
    <mergeCell ref="C622:D622"/>
    <mergeCell ref="E622:F622"/>
    <mergeCell ref="C615:D615"/>
    <mergeCell ref="E615:F615"/>
    <mergeCell ref="C617:D617"/>
    <mergeCell ref="E617:F617"/>
    <mergeCell ref="C619:D619"/>
    <mergeCell ref="E619:F619"/>
    <mergeCell ref="C621:D621"/>
    <mergeCell ref="E621:F621"/>
    <mergeCell ref="C596:I596"/>
    <mergeCell ref="D597:E597"/>
    <mergeCell ref="C599:D599"/>
    <mergeCell ref="E599:F599"/>
    <mergeCell ref="G599:M599"/>
    <mergeCell ref="C601:D601"/>
    <mergeCell ref="E601:F601"/>
    <mergeCell ref="C603:D603"/>
    <mergeCell ref="E603:F603"/>
    <mergeCell ref="B592:M592"/>
    <mergeCell ref="C593:D593"/>
    <mergeCell ref="E593:F593"/>
    <mergeCell ref="G593:H593"/>
    <mergeCell ref="I593:J593"/>
    <mergeCell ref="K593:M593"/>
    <mergeCell ref="C594:D594"/>
    <mergeCell ref="E594:F594"/>
    <mergeCell ref="G594:H594"/>
    <mergeCell ref="I594:J594"/>
    <mergeCell ref="K594:M594"/>
    <mergeCell ref="B588:M588"/>
    <mergeCell ref="C589:D589"/>
    <mergeCell ref="E589:F589"/>
    <mergeCell ref="G589:H589"/>
    <mergeCell ref="I589:J589"/>
    <mergeCell ref="K589:M589"/>
    <mergeCell ref="C590:D590"/>
    <mergeCell ref="E590:F590"/>
    <mergeCell ref="G590:H590"/>
    <mergeCell ref="I590:J590"/>
    <mergeCell ref="K590:M590"/>
    <mergeCell ref="C562:D562"/>
    <mergeCell ref="E562:F562"/>
    <mergeCell ref="G559:M559"/>
    <mergeCell ref="C577:K577"/>
    <mergeCell ref="C571:D571"/>
    <mergeCell ref="E571:F571"/>
    <mergeCell ref="G571:H571"/>
    <mergeCell ref="I571:J571"/>
    <mergeCell ref="K571:M571"/>
    <mergeCell ref="B573:M573"/>
    <mergeCell ref="C574:D574"/>
    <mergeCell ref="E574:F574"/>
    <mergeCell ref="G574:H574"/>
    <mergeCell ref="I574:J574"/>
    <mergeCell ref="K574:M574"/>
    <mergeCell ref="E580:F580"/>
    <mergeCell ref="G580:M580"/>
    <mergeCell ref="C582:D582"/>
    <mergeCell ref="E582:F582"/>
    <mergeCell ref="C575:D575"/>
    <mergeCell ref="E575:F575"/>
    <mergeCell ref="G575:H575"/>
    <mergeCell ref="I575:J575"/>
    <mergeCell ref="K575:M575"/>
    <mergeCell ref="C584:D584"/>
    <mergeCell ref="E584:F584"/>
    <mergeCell ref="C585:D585"/>
    <mergeCell ref="E585:F585"/>
    <mergeCell ref="C586:D586"/>
    <mergeCell ref="E586:F586"/>
    <mergeCell ref="C567:D567"/>
    <mergeCell ref="E567:F567"/>
    <mergeCell ref="C563:D563"/>
    <mergeCell ref="E563:F563"/>
    <mergeCell ref="C564:D564"/>
    <mergeCell ref="E564:F564"/>
    <mergeCell ref="C565:D565"/>
    <mergeCell ref="E565:F565"/>
    <mergeCell ref="C583:D583"/>
    <mergeCell ref="E583:F583"/>
    <mergeCell ref="B569:M569"/>
    <mergeCell ref="C570:D570"/>
    <mergeCell ref="E570:F570"/>
    <mergeCell ref="G570:H570"/>
    <mergeCell ref="I570:J570"/>
    <mergeCell ref="K570:M570"/>
    <mergeCell ref="D578:E578"/>
    <mergeCell ref="C580:D580"/>
    <mergeCell ref="C556:K556"/>
    <mergeCell ref="D557:E557"/>
    <mergeCell ref="C559:D559"/>
    <mergeCell ref="E559:F559"/>
    <mergeCell ref="C561:D561"/>
    <mergeCell ref="E561:F561"/>
    <mergeCell ref="C554:D554"/>
    <mergeCell ref="E554:F554"/>
    <mergeCell ref="G554:H554"/>
    <mergeCell ref="I554:J554"/>
    <mergeCell ref="K554:M554"/>
    <mergeCell ref="C542:D542"/>
    <mergeCell ref="E530:F530"/>
    <mergeCell ref="E532:F532"/>
    <mergeCell ref="E542:F542"/>
    <mergeCell ref="C550:D550"/>
    <mergeCell ref="E550:F550"/>
    <mergeCell ref="G550:H550"/>
    <mergeCell ref="I550:J550"/>
    <mergeCell ref="C537:D537"/>
    <mergeCell ref="E537:F537"/>
    <mergeCell ref="C539:D539"/>
    <mergeCell ref="E539:F539"/>
    <mergeCell ref="C541:D541"/>
    <mergeCell ref="E541:F541"/>
    <mergeCell ref="C543:D543"/>
    <mergeCell ref="E543:F543"/>
    <mergeCell ref="K550:M550"/>
    <mergeCell ref="B552:M552"/>
    <mergeCell ref="C553:D553"/>
    <mergeCell ref="E553:F553"/>
    <mergeCell ref="G553:H553"/>
    <mergeCell ref="I553:J553"/>
    <mergeCell ref="K553:M553"/>
    <mergeCell ref="C545:D545"/>
    <mergeCell ref="E545:F545"/>
    <mergeCell ref="C547:D547"/>
    <mergeCell ref="E547:F547"/>
    <mergeCell ref="B548:M548"/>
    <mergeCell ref="C549:D549"/>
    <mergeCell ref="E549:F549"/>
    <mergeCell ref="G549:H549"/>
    <mergeCell ref="I549:J549"/>
    <mergeCell ref="K549:M549"/>
    <mergeCell ref="C529:D529"/>
    <mergeCell ref="E529:F529"/>
    <mergeCell ref="C531:D531"/>
    <mergeCell ref="E531:F531"/>
    <mergeCell ref="C532:D532"/>
    <mergeCell ref="C533:D533"/>
    <mergeCell ref="E533:F533"/>
    <mergeCell ref="C535:D535"/>
    <mergeCell ref="E535:F535"/>
    <mergeCell ref="C530:D530"/>
    <mergeCell ref="C522:D522"/>
    <mergeCell ref="E522:F522"/>
    <mergeCell ref="G522:H522"/>
    <mergeCell ref="I522:J522"/>
    <mergeCell ref="K522:M522"/>
    <mergeCell ref="C507:D507"/>
    <mergeCell ref="C524:J524"/>
    <mergeCell ref="D525:E525"/>
    <mergeCell ref="C527:D527"/>
    <mergeCell ref="E527:F527"/>
    <mergeCell ref="G527:M527"/>
    <mergeCell ref="C518:D518"/>
    <mergeCell ref="E518:F518"/>
    <mergeCell ref="G518:H518"/>
    <mergeCell ref="I518:J518"/>
    <mergeCell ref="K518:M518"/>
    <mergeCell ref="B520:M520"/>
    <mergeCell ref="C521:D521"/>
    <mergeCell ref="E521:F521"/>
    <mergeCell ref="G521:H521"/>
    <mergeCell ref="I521:J521"/>
    <mergeCell ref="K521:M521"/>
    <mergeCell ref="B516:M516"/>
    <mergeCell ref="C517:D517"/>
    <mergeCell ref="E517:F517"/>
    <mergeCell ref="G517:H517"/>
    <mergeCell ref="I517:J517"/>
    <mergeCell ref="K517:M517"/>
    <mergeCell ref="C506:D506"/>
    <mergeCell ref="E506:F506"/>
    <mergeCell ref="C508:D508"/>
    <mergeCell ref="E508:F508"/>
    <mergeCell ref="C510:D510"/>
    <mergeCell ref="E510:F510"/>
    <mergeCell ref="C512:D512"/>
    <mergeCell ref="E512:F512"/>
    <mergeCell ref="C514:D514"/>
    <mergeCell ref="E514:F514"/>
    <mergeCell ref="C498:D498"/>
    <mergeCell ref="E498:F498"/>
    <mergeCell ref="C499:D499"/>
    <mergeCell ref="C500:D500"/>
    <mergeCell ref="E500:F500"/>
    <mergeCell ref="C502:D502"/>
    <mergeCell ref="E502:F502"/>
    <mergeCell ref="C504:D504"/>
    <mergeCell ref="E504:F504"/>
    <mergeCell ref="C462:D462"/>
    <mergeCell ref="C491:J491"/>
    <mergeCell ref="D492:E492"/>
    <mergeCell ref="C494:D494"/>
    <mergeCell ref="E494:F494"/>
    <mergeCell ref="G494:M494"/>
    <mergeCell ref="C496:D496"/>
    <mergeCell ref="E496:F496"/>
    <mergeCell ref="B487:M487"/>
    <mergeCell ref="C488:D488"/>
    <mergeCell ref="E488:F488"/>
    <mergeCell ref="G488:H488"/>
    <mergeCell ref="I488:J488"/>
    <mergeCell ref="K488:M488"/>
    <mergeCell ref="C489:D489"/>
    <mergeCell ref="E489:F489"/>
    <mergeCell ref="G489:H489"/>
    <mergeCell ref="I489:J489"/>
    <mergeCell ref="K489:M489"/>
    <mergeCell ref="B483:M483"/>
    <mergeCell ref="C484:D484"/>
    <mergeCell ref="E484:F484"/>
    <mergeCell ref="G484:H484"/>
    <mergeCell ref="I484:J484"/>
    <mergeCell ref="K484:M484"/>
    <mergeCell ref="C485:D485"/>
    <mergeCell ref="E485:F485"/>
    <mergeCell ref="G485:H485"/>
    <mergeCell ref="I485:J485"/>
    <mergeCell ref="K485:M485"/>
    <mergeCell ref="C473:D473"/>
    <mergeCell ref="E473:F473"/>
    <mergeCell ref="C475:D475"/>
    <mergeCell ref="E475:F475"/>
    <mergeCell ref="C477:D477"/>
    <mergeCell ref="E477:F477"/>
    <mergeCell ref="C479:D479"/>
    <mergeCell ref="E479:F479"/>
    <mergeCell ref="C481:D481"/>
    <mergeCell ref="E481:F481"/>
    <mergeCell ref="C463:D463"/>
    <mergeCell ref="E463:F463"/>
    <mergeCell ref="C465:D465"/>
    <mergeCell ref="E465:F465"/>
    <mergeCell ref="C467:D467"/>
    <mergeCell ref="E467:F467"/>
    <mergeCell ref="C469:D469"/>
    <mergeCell ref="E469:F469"/>
    <mergeCell ref="C471:D471"/>
    <mergeCell ref="E471:F471"/>
    <mergeCell ref="D455:E455"/>
    <mergeCell ref="C457:D457"/>
    <mergeCell ref="E457:F457"/>
    <mergeCell ref="G457:M457"/>
    <mergeCell ref="C459:D459"/>
    <mergeCell ref="E459:F459"/>
    <mergeCell ref="C461:D461"/>
    <mergeCell ref="E461:F461"/>
    <mergeCell ref="C460:D460"/>
    <mergeCell ref="C454:L454"/>
    <mergeCell ref="B450:M450"/>
    <mergeCell ref="C451:D451"/>
    <mergeCell ref="E451:F451"/>
    <mergeCell ref="G451:H451"/>
    <mergeCell ref="I451:J451"/>
    <mergeCell ref="K451:M451"/>
    <mergeCell ref="C452:D452"/>
    <mergeCell ref="E452:F452"/>
    <mergeCell ref="G452:H452"/>
    <mergeCell ref="I452:J452"/>
    <mergeCell ref="K452:M452"/>
    <mergeCell ref="C447:D447"/>
    <mergeCell ref="E447:F447"/>
    <mergeCell ref="G447:H447"/>
    <mergeCell ref="I447:J447"/>
    <mergeCell ref="K447:M447"/>
    <mergeCell ref="C448:D448"/>
    <mergeCell ref="E448:F448"/>
    <mergeCell ref="G448:H448"/>
    <mergeCell ref="I448:J448"/>
    <mergeCell ref="K448:M448"/>
    <mergeCell ref="C436:D436"/>
    <mergeCell ref="E436:F436"/>
    <mergeCell ref="C438:D438"/>
    <mergeCell ref="E438:F438"/>
    <mergeCell ref="C440:D440"/>
    <mergeCell ref="E440:F440"/>
    <mergeCell ref="C442:D442"/>
    <mergeCell ref="E442:F442"/>
    <mergeCell ref="B446:M446"/>
    <mergeCell ref="C444:D444"/>
    <mergeCell ref="E444:F444"/>
    <mergeCell ref="C426:D426"/>
    <mergeCell ref="E426:F426"/>
    <mergeCell ref="C428:D428"/>
    <mergeCell ref="E428:F428"/>
    <mergeCell ref="C430:D430"/>
    <mergeCell ref="E430:F430"/>
    <mergeCell ref="C432:D432"/>
    <mergeCell ref="E432:F432"/>
    <mergeCell ref="C434:D434"/>
    <mergeCell ref="E434:F434"/>
    <mergeCell ref="D418:E418"/>
    <mergeCell ref="C420:D420"/>
    <mergeCell ref="E420:F420"/>
    <mergeCell ref="G420:M420"/>
    <mergeCell ref="C422:D422"/>
    <mergeCell ref="E422:F422"/>
    <mergeCell ref="C424:D424"/>
    <mergeCell ref="E424:F424"/>
    <mergeCell ref="C417:I417"/>
    <mergeCell ref="B413:M413"/>
    <mergeCell ref="C414:D414"/>
    <mergeCell ref="E414:F414"/>
    <mergeCell ref="G414:H414"/>
    <mergeCell ref="I414:J414"/>
    <mergeCell ref="K414:M414"/>
    <mergeCell ref="C415:D415"/>
    <mergeCell ref="E415:F415"/>
    <mergeCell ref="G415:H415"/>
    <mergeCell ref="I415:J415"/>
    <mergeCell ref="K415:M415"/>
    <mergeCell ref="C410:D410"/>
    <mergeCell ref="E410:F410"/>
    <mergeCell ref="G410:H410"/>
    <mergeCell ref="I410:J410"/>
    <mergeCell ref="K410:M410"/>
    <mergeCell ref="C411:D411"/>
    <mergeCell ref="E411:F411"/>
    <mergeCell ref="G411:H411"/>
    <mergeCell ref="I411:J411"/>
    <mergeCell ref="K411:M411"/>
    <mergeCell ref="C400:D400"/>
    <mergeCell ref="E400:F400"/>
    <mergeCell ref="C402:D402"/>
    <mergeCell ref="E402:F402"/>
    <mergeCell ref="C404:D404"/>
    <mergeCell ref="E404:F404"/>
    <mergeCell ref="C406:D406"/>
    <mergeCell ref="E406:F406"/>
    <mergeCell ref="B409:M409"/>
    <mergeCell ref="C390:D390"/>
    <mergeCell ref="E390:F390"/>
    <mergeCell ref="C392:D392"/>
    <mergeCell ref="E392:F392"/>
    <mergeCell ref="C394:D394"/>
    <mergeCell ref="E394:F394"/>
    <mergeCell ref="C396:D396"/>
    <mergeCell ref="E396:F396"/>
    <mergeCell ref="C398:D398"/>
    <mergeCell ref="E398:F398"/>
    <mergeCell ref="C381:G381"/>
    <mergeCell ref="D382:E382"/>
    <mergeCell ref="C384:D384"/>
    <mergeCell ref="E384:F384"/>
    <mergeCell ref="G384:M384"/>
    <mergeCell ref="C386:D386"/>
    <mergeCell ref="E386:F386"/>
    <mergeCell ref="C388:D388"/>
    <mergeCell ref="E388:F388"/>
    <mergeCell ref="C340:I340"/>
    <mergeCell ref="F341:G341"/>
    <mergeCell ref="C371:D371"/>
    <mergeCell ref="C343:D343"/>
    <mergeCell ref="E343:K343"/>
    <mergeCell ref="C345:D345"/>
    <mergeCell ref="C347:D347"/>
    <mergeCell ref="C349:D349"/>
    <mergeCell ref="C351:D351"/>
    <mergeCell ref="C353:D353"/>
    <mergeCell ref="C355:D355"/>
    <mergeCell ref="C357:D357"/>
    <mergeCell ref="C359:D359"/>
    <mergeCell ref="C361:D361"/>
    <mergeCell ref="C363:D363"/>
    <mergeCell ref="C365:D365"/>
    <mergeCell ref="C367:D367"/>
    <mergeCell ref="C369:D369"/>
    <mergeCell ref="B373:M373"/>
    <mergeCell ref="C374:D374"/>
    <mergeCell ref="E374:F374"/>
    <mergeCell ref="G374:H374"/>
    <mergeCell ref="I374:J374"/>
    <mergeCell ref="K374:M374"/>
    <mergeCell ref="C379:D379"/>
    <mergeCell ref="E379:F379"/>
    <mergeCell ref="G379:H379"/>
    <mergeCell ref="I379:J379"/>
    <mergeCell ref="K379:M379"/>
    <mergeCell ref="C375:D375"/>
    <mergeCell ref="E375:F375"/>
    <mergeCell ref="G375:H375"/>
    <mergeCell ref="I375:J375"/>
    <mergeCell ref="K375:M375"/>
    <mergeCell ref="B377:M377"/>
    <mergeCell ref="C378:D378"/>
    <mergeCell ref="E378:F378"/>
    <mergeCell ref="G378:H378"/>
    <mergeCell ref="I378:J378"/>
    <mergeCell ref="K378:M378"/>
    <mergeCell ref="C338:D338"/>
    <mergeCell ref="E338:F338"/>
    <mergeCell ref="G338:H338"/>
    <mergeCell ref="I338:J338"/>
    <mergeCell ref="K338:M338"/>
    <mergeCell ref="E314:F314"/>
    <mergeCell ref="E316:F316"/>
    <mergeCell ref="E318:F318"/>
    <mergeCell ref="E319:F319"/>
    <mergeCell ref="E320:F320"/>
    <mergeCell ref="E322:F322"/>
    <mergeCell ref="E324:F324"/>
    <mergeCell ref="E326:F326"/>
    <mergeCell ref="E327:F327"/>
    <mergeCell ref="E328:F328"/>
    <mergeCell ref="E330:F330"/>
    <mergeCell ref="G314:K314"/>
    <mergeCell ref="C317:D317"/>
    <mergeCell ref="E317:F317"/>
    <mergeCell ref="C334:D334"/>
    <mergeCell ref="E334:F334"/>
    <mergeCell ref="G334:H334"/>
    <mergeCell ref="I334:J334"/>
    <mergeCell ref="K334:M334"/>
    <mergeCell ref="B336:M336"/>
    <mergeCell ref="C337:D337"/>
    <mergeCell ref="E337:F337"/>
    <mergeCell ref="G337:H337"/>
    <mergeCell ref="I337:J337"/>
    <mergeCell ref="K337:M337"/>
    <mergeCell ref="C324:D324"/>
    <mergeCell ref="C326:D326"/>
    <mergeCell ref="C327:D327"/>
    <mergeCell ref="C328:D328"/>
    <mergeCell ref="C330:D330"/>
    <mergeCell ref="B332:M332"/>
    <mergeCell ref="C333:D333"/>
    <mergeCell ref="E333:F333"/>
    <mergeCell ref="G333:H333"/>
    <mergeCell ref="I333:J333"/>
    <mergeCell ref="K333:M333"/>
    <mergeCell ref="C311:K311"/>
    <mergeCell ref="D312:E312"/>
    <mergeCell ref="C314:D314"/>
    <mergeCell ref="C316:D316"/>
    <mergeCell ref="C318:D318"/>
    <mergeCell ref="C319:D319"/>
    <mergeCell ref="C320:D320"/>
    <mergeCell ref="C322:D322"/>
    <mergeCell ref="C271:D271"/>
    <mergeCell ref="E271:F271"/>
    <mergeCell ref="G271:H271"/>
    <mergeCell ref="I271:J271"/>
    <mergeCell ref="K271:M271"/>
    <mergeCell ref="C267:D267"/>
    <mergeCell ref="E267:F267"/>
    <mergeCell ref="G267:H267"/>
    <mergeCell ref="C309:D309"/>
    <mergeCell ref="E309:F309"/>
    <mergeCell ref="G309:H309"/>
    <mergeCell ref="I309:J309"/>
    <mergeCell ref="K309:M309"/>
    <mergeCell ref="C281:D281"/>
    <mergeCell ref="E281:F281"/>
    <mergeCell ref="C289:D289"/>
    <mergeCell ref="E289:F289"/>
    <mergeCell ref="C304:D304"/>
    <mergeCell ref="E304:F304"/>
    <mergeCell ref="G304:H304"/>
    <mergeCell ref="I304:J304"/>
    <mergeCell ref="K304:M304"/>
    <mergeCell ref="C282:D282"/>
    <mergeCell ref="E282:F282"/>
    <mergeCell ref="C284:D284"/>
    <mergeCell ref="E284:F284"/>
    <mergeCell ref="C286:D286"/>
    <mergeCell ref="E286:F286"/>
    <mergeCell ref="C288:D288"/>
    <mergeCell ref="E288:F288"/>
    <mergeCell ref="C290:D290"/>
    <mergeCell ref="E290:F290"/>
    <mergeCell ref="I307:J307"/>
    <mergeCell ref="K307:M307"/>
    <mergeCell ref="C292:D292"/>
    <mergeCell ref="E292:F292"/>
    <mergeCell ref="C294:D294"/>
    <mergeCell ref="E294:F294"/>
    <mergeCell ref="C296:D296"/>
    <mergeCell ref="E296:F296"/>
    <mergeCell ref="B302:M302"/>
    <mergeCell ref="C303:D303"/>
    <mergeCell ref="E303:F303"/>
    <mergeCell ref="G303:H303"/>
    <mergeCell ref="I303:J303"/>
    <mergeCell ref="K303:M303"/>
    <mergeCell ref="C273:K273"/>
    <mergeCell ref="D274:E274"/>
    <mergeCell ref="C276:D276"/>
    <mergeCell ref="E276:F276"/>
    <mergeCell ref="C278:D278"/>
    <mergeCell ref="E278:F278"/>
    <mergeCell ref="C280:D280"/>
    <mergeCell ref="E280:F280"/>
    <mergeCell ref="C298:D298"/>
    <mergeCell ref="E298:F298"/>
    <mergeCell ref="C300:D300"/>
    <mergeCell ref="E300:F300"/>
    <mergeCell ref="B306:M306"/>
    <mergeCell ref="C307:D307"/>
    <mergeCell ref="E307:F307"/>
    <mergeCell ref="G307:H307"/>
    <mergeCell ref="G282:H282"/>
    <mergeCell ref="G276:H276"/>
    <mergeCell ref="E249:F249"/>
    <mergeCell ref="E251:F251"/>
    <mergeCell ref="E252:F252"/>
    <mergeCell ref="E253:F253"/>
    <mergeCell ref="E255:F255"/>
    <mergeCell ref="G247:K247"/>
    <mergeCell ref="C270:D270"/>
    <mergeCell ref="E270:F270"/>
    <mergeCell ref="G270:H270"/>
    <mergeCell ref="I270:J270"/>
    <mergeCell ref="K270:M270"/>
    <mergeCell ref="B265:M265"/>
    <mergeCell ref="C266:D266"/>
    <mergeCell ref="E266:F266"/>
    <mergeCell ref="G266:H266"/>
    <mergeCell ref="I266:J266"/>
    <mergeCell ref="K266:M266"/>
    <mergeCell ref="C252:D252"/>
    <mergeCell ref="C253:D253"/>
    <mergeCell ref="C255:D255"/>
    <mergeCell ref="B261:M261"/>
    <mergeCell ref="C262:D262"/>
    <mergeCell ref="E262:F262"/>
    <mergeCell ref="G262:H262"/>
    <mergeCell ref="I262:J262"/>
    <mergeCell ref="K262:M262"/>
    <mergeCell ref="C263:D263"/>
    <mergeCell ref="E263:F263"/>
    <mergeCell ref="G263:H263"/>
    <mergeCell ref="I263:J263"/>
    <mergeCell ref="K263:M263"/>
    <mergeCell ref="E259:F259"/>
    <mergeCell ref="C241:D241"/>
    <mergeCell ref="E241:F241"/>
    <mergeCell ref="G241:H241"/>
    <mergeCell ref="I241:J241"/>
    <mergeCell ref="K241:M241"/>
    <mergeCell ref="C242:D242"/>
    <mergeCell ref="E242:F242"/>
    <mergeCell ref="G242:H242"/>
    <mergeCell ref="I242:J242"/>
    <mergeCell ref="K242:M242"/>
    <mergeCell ref="C238:D238"/>
    <mergeCell ref="E238:F238"/>
    <mergeCell ref="G238:H238"/>
    <mergeCell ref="I238:J238"/>
    <mergeCell ref="K238:M238"/>
    <mergeCell ref="B240:M240"/>
    <mergeCell ref="B236:M236"/>
    <mergeCell ref="C237:D237"/>
    <mergeCell ref="E237:F237"/>
    <mergeCell ref="G237:H237"/>
    <mergeCell ref="I237:J237"/>
    <mergeCell ref="K237:M237"/>
    <mergeCell ref="C232:D232"/>
    <mergeCell ref="C234:D234"/>
    <mergeCell ref="C230:D230"/>
    <mergeCell ref="C231:D231"/>
    <mergeCell ref="C226:D226"/>
    <mergeCell ref="C228:D228"/>
    <mergeCell ref="C223:D223"/>
    <mergeCell ref="C224:D224"/>
    <mergeCell ref="C220:D220"/>
    <mergeCell ref="C222:D222"/>
    <mergeCell ref="C215:K215"/>
    <mergeCell ref="D216:E216"/>
    <mergeCell ref="C218:D218"/>
    <mergeCell ref="E218:I218"/>
    <mergeCell ref="G197:H197"/>
    <mergeCell ref="I181:M181"/>
    <mergeCell ref="G199:H199"/>
    <mergeCell ref="C201:D201"/>
    <mergeCell ref="C203:D203"/>
    <mergeCell ref="C205:D205"/>
    <mergeCell ref="E201:F201"/>
    <mergeCell ref="E203:F203"/>
    <mergeCell ref="E205:F205"/>
    <mergeCell ref="G201:H201"/>
    <mergeCell ref="G191:H191"/>
    <mergeCell ref="G193:H193"/>
    <mergeCell ref="C194:D194"/>
    <mergeCell ref="E194:F194"/>
    <mergeCell ref="G194:H194"/>
    <mergeCell ref="G195:H195"/>
    <mergeCell ref="G185:H185"/>
    <mergeCell ref="C186:D186"/>
    <mergeCell ref="B207:M207"/>
    <mergeCell ref="C208:D208"/>
    <mergeCell ref="E208:F208"/>
    <mergeCell ref="G208:H208"/>
    <mergeCell ref="I208:J208"/>
    <mergeCell ref="K208:M208"/>
    <mergeCell ref="C197:D197"/>
    <mergeCell ref="E197:F197"/>
    <mergeCell ref="C199:D199"/>
    <mergeCell ref="E199:F199"/>
    <mergeCell ref="G203:H203"/>
    <mergeCell ref="G205:H205"/>
    <mergeCell ref="C213:D213"/>
    <mergeCell ref="E213:F213"/>
    <mergeCell ref="G213:H213"/>
    <mergeCell ref="I213:J213"/>
    <mergeCell ref="K213:M213"/>
    <mergeCell ref="C209:D209"/>
    <mergeCell ref="E209:F209"/>
    <mergeCell ref="G209:H209"/>
    <mergeCell ref="I209:J209"/>
    <mergeCell ref="K209:M209"/>
    <mergeCell ref="B211:M211"/>
    <mergeCell ref="C212:D212"/>
    <mergeCell ref="E212:F212"/>
    <mergeCell ref="G212:H212"/>
    <mergeCell ref="I212:J212"/>
    <mergeCell ref="K212:M212"/>
    <mergeCell ref="E195:F195"/>
    <mergeCell ref="C185:D185"/>
    <mergeCell ref="E185:F185"/>
    <mergeCell ref="C187:D187"/>
    <mergeCell ref="E187:F187"/>
    <mergeCell ref="C189:D189"/>
    <mergeCell ref="E189:F189"/>
    <mergeCell ref="C178:K178"/>
    <mergeCell ref="D179:E179"/>
    <mergeCell ref="C181:D181"/>
    <mergeCell ref="E181:F181"/>
    <mergeCell ref="C183:D183"/>
    <mergeCell ref="E183:F183"/>
    <mergeCell ref="G181:H181"/>
    <mergeCell ref="G183:H183"/>
    <mergeCell ref="E186:F186"/>
    <mergeCell ref="G186:H186"/>
    <mergeCell ref="G187:H187"/>
    <mergeCell ref="G189:H189"/>
    <mergeCell ref="C191:D191"/>
    <mergeCell ref="E191:F191"/>
    <mergeCell ref="C193:D193"/>
    <mergeCell ref="E193:F193"/>
    <mergeCell ref="C195:D195"/>
    <mergeCell ref="C174:D174"/>
    <mergeCell ref="E174:F174"/>
    <mergeCell ref="G174:H174"/>
    <mergeCell ref="I174:J174"/>
    <mergeCell ref="K174:M174"/>
    <mergeCell ref="C176:D176"/>
    <mergeCell ref="E176:F176"/>
    <mergeCell ref="G176:H176"/>
    <mergeCell ref="I176:J176"/>
    <mergeCell ref="K176:M176"/>
    <mergeCell ref="C171:D171"/>
    <mergeCell ref="E171:F171"/>
    <mergeCell ref="G171:H171"/>
    <mergeCell ref="I171:J171"/>
    <mergeCell ref="K171:M171"/>
    <mergeCell ref="B173:M173"/>
    <mergeCell ref="B169:M169"/>
    <mergeCell ref="C170:D170"/>
    <mergeCell ref="E170:F170"/>
    <mergeCell ref="G170:H170"/>
    <mergeCell ref="I170:J170"/>
    <mergeCell ref="K170:M170"/>
    <mergeCell ref="C161:D161"/>
    <mergeCell ref="E161:F161"/>
    <mergeCell ref="C163:D163"/>
    <mergeCell ref="E163:F163"/>
    <mergeCell ref="C165:D165"/>
    <mergeCell ref="E165:F165"/>
    <mergeCell ref="C155:D155"/>
    <mergeCell ref="E155:F155"/>
    <mergeCell ref="C157:D157"/>
    <mergeCell ref="E157:F157"/>
    <mergeCell ref="C159:D159"/>
    <mergeCell ref="E159:F159"/>
    <mergeCell ref="C149:D149"/>
    <mergeCell ref="E149:F149"/>
    <mergeCell ref="C151:D151"/>
    <mergeCell ref="E151:F151"/>
    <mergeCell ref="C153:D153"/>
    <mergeCell ref="E153:F153"/>
    <mergeCell ref="D143:E143"/>
    <mergeCell ref="C145:D145"/>
    <mergeCell ref="E145:F145"/>
    <mergeCell ref="C147:D147"/>
    <mergeCell ref="E147:F147"/>
    <mergeCell ref="C142:K142"/>
    <mergeCell ref="C127:D127"/>
    <mergeCell ref="C129:D129"/>
    <mergeCell ref="C131:D131"/>
    <mergeCell ref="C138:D138"/>
    <mergeCell ref="E138:F138"/>
    <mergeCell ref="G138:H138"/>
    <mergeCell ref="I138:J138"/>
    <mergeCell ref="K138:M138"/>
    <mergeCell ref="C140:D140"/>
    <mergeCell ref="E140:F140"/>
    <mergeCell ref="G140:H140"/>
    <mergeCell ref="I140:J140"/>
    <mergeCell ref="K140:M140"/>
    <mergeCell ref="C135:D135"/>
    <mergeCell ref="E135:F135"/>
    <mergeCell ref="G135:H135"/>
    <mergeCell ref="I135:J135"/>
    <mergeCell ref="K135:M135"/>
    <mergeCell ref="B137:M137"/>
    <mergeCell ref="C132:D132"/>
    <mergeCell ref="B133:M133"/>
    <mergeCell ref="C134:D134"/>
    <mergeCell ref="E134:F134"/>
    <mergeCell ref="G134:H134"/>
    <mergeCell ref="I134:J134"/>
    <mergeCell ref="K134:M134"/>
    <mergeCell ref="C123:D123"/>
    <mergeCell ref="C125:D125"/>
    <mergeCell ref="C119:D119"/>
    <mergeCell ref="C121:D121"/>
    <mergeCell ref="C117:D117"/>
    <mergeCell ref="C113:D113"/>
    <mergeCell ref="C115:D115"/>
    <mergeCell ref="C111:D111"/>
    <mergeCell ref="C107:D107"/>
    <mergeCell ref="C109:D109"/>
    <mergeCell ref="C105:D105"/>
    <mergeCell ref="C102:D102"/>
    <mergeCell ref="C103:D103"/>
    <mergeCell ref="C98:J98"/>
    <mergeCell ref="D99:E99"/>
    <mergeCell ref="C101:D101"/>
    <mergeCell ref="E101:I101"/>
    <mergeCell ref="E111:G111"/>
    <mergeCell ref="H111:I111"/>
    <mergeCell ref="C94:D94"/>
    <mergeCell ref="E94:F94"/>
    <mergeCell ref="G94:H94"/>
    <mergeCell ref="I94:J94"/>
    <mergeCell ref="K94:M94"/>
    <mergeCell ref="C96:D96"/>
    <mergeCell ref="E96:F96"/>
    <mergeCell ref="G96:H96"/>
    <mergeCell ref="I96:J96"/>
    <mergeCell ref="K96:M96"/>
    <mergeCell ref="C91:D91"/>
    <mergeCell ref="E91:F91"/>
    <mergeCell ref="G91:H91"/>
    <mergeCell ref="I91:J91"/>
    <mergeCell ref="K91:M91"/>
    <mergeCell ref="B93:M93"/>
    <mergeCell ref="B89:M89"/>
    <mergeCell ref="C90:D90"/>
    <mergeCell ref="E90:F90"/>
    <mergeCell ref="G90:H90"/>
    <mergeCell ref="I90:J90"/>
    <mergeCell ref="K90:M90"/>
    <mergeCell ref="E95:F95"/>
    <mergeCell ref="G95:H95"/>
    <mergeCell ref="I95:J95"/>
    <mergeCell ref="K95:M95"/>
    <mergeCell ref="C95:D95"/>
    <mergeCell ref="C83:D83"/>
    <mergeCell ref="E83:F83"/>
    <mergeCell ref="C85:D85"/>
    <mergeCell ref="E85:F85"/>
    <mergeCell ref="C87:D87"/>
    <mergeCell ref="E87:F87"/>
    <mergeCell ref="C77:D77"/>
    <mergeCell ref="E77:F77"/>
    <mergeCell ref="C79:D79"/>
    <mergeCell ref="E79:F79"/>
    <mergeCell ref="C81:D81"/>
    <mergeCell ref="E81:F81"/>
    <mergeCell ref="C71:D71"/>
    <mergeCell ref="E71:F71"/>
    <mergeCell ref="C73:D73"/>
    <mergeCell ref="E73:F73"/>
    <mergeCell ref="C75:D75"/>
    <mergeCell ref="E75:F75"/>
    <mergeCell ref="C72:D72"/>
    <mergeCell ref="E72:F72"/>
    <mergeCell ref="C64:G64"/>
    <mergeCell ref="D65:E65"/>
    <mergeCell ref="C67:D67"/>
    <mergeCell ref="E67:F67"/>
    <mergeCell ref="G67:M67"/>
    <mergeCell ref="C69:D69"/>
    <mergeCell ref="E69:F69"/>
    <mergeCell ref="G61:H61"/>
    <mergeCell ref="I61:J61"/>
    <mergeCell ref="K61:M61"/>
    <mergeCell ref="E62:F62"/>
    <mergeCell ref="G62:H62"/>
    <mergeCell ref="I62:J62"/>
    <mergeCell ref="K62:M62"/>
    <mergeCell ref="E61:F61"/>
    <mergeCell ref="G57:H57"/>
    <mergeCell ref="I57:J57"/>
    <mergeCell ref="K57:M57"/>
    <mergeCell ref="B59:M59"/>
    <mergeCell ref="E60:F60"/>
    <mergeCell ref="G60:H60"/>
    <mergeCell ref="I60:J60"/>
    <mergeCell ref="K60:M60"/>
    <mergeCell ref="C57:D57"/>
    <mergeCell ref="E57:F57"/>
    <mergeCell ref="B55:M55"/>
    <mergeCell ref="C56:D56"/>
    <mergeCell ref="E56:F56"/>
    <mergeCell ref="G56:H56"/>
    <mergeCell ref="I56:J56"/>
    <mergeCell ref="K56:M56"/>
    <mergeCell ref="E51:F51"/>
    <mergeCell ref="C40:J40"/>
    <mergeCell ref="E45:F45"/>
    <mergeCell ref="E47:F47"/>
    <mergeCell ref="E48:F48"/>
    <mergeCell ref="E49:F49"/>
    <mergeCell ref="C51:D51"/>
    <mergeCell ref="C45:D45"/>
    <mergeCell ref="C47:D47"/>
    <mergeCell ref="C49:D49"/>
    <mergeCell ref="D41:E41"/>
    <mergeCell ref="C43:D43"/>
    <mergeCell ref="E43:F43"/>
    <mergeCell ref="G43:M43"/>
    <mergeCell ref="I32:J32"/>
    <mergeCell ref="K32:M32"/>
    <mergeCell ref="B34:M34"/>
    <mergeCell ref="C35:D35"/>
    <mergeCell ref="E35:F35"/>
    <mergeCell ref="G35:H35"/>
    <mergeCell ref="E10:F10"/>
    <mergeCell ref="E16:F16"/>
    <mergeCell ref="E20:F20"/>
    <mergeCell ref="E22:F22"/>
    <mergeCell ref="B30:M30"/>
    <mergeCell ref="C31:D31"/>
    <mergeCell ref="E31:F31"/>
    <mergeCell ref="I35:J35"/>
    <mergeCell ref="K35:M35"/>
    <mergeCell ref="E28:F28"/>
    <mergeCell ref="C28:D28"/>
    <mergeCell ref="I259:J259"/>
    <mergeCell ref="K259:M259"/>
    <mergeCell ref="C1:G1"/>
    <mergeCell ref="D2:E2"/>
    <mergeCell ref="C4:D4"/>
    <mergeCell ref="E4:F4"/>
    <mergeCell ref="E24:F24"/>
    <mergeCell ref="E18:F18"/>
    <mergeCell ref="E12:F12"/>
    <mergeCell ref="E14:F14"/>
    <mergeCell ref="C12:D12"/>
    <mergeCell ref="C14:D14"/>
    <mergeCell ref="E8:F8"/>
    <mergeCell ref="E6:F6"/>
    <mergeCell ref="C6:D6"/>
    <mergeCell ref="C8:D8"/>
    <mergeCell ref="C10:D10"/>
    <mergeCell ref="C24:D24"/>
    <mergeCell ref="C26:D26"/>
    <mergeCell ref="E26:F26"/>
    <mergeCell ref="G4:M4"/>
    <mergeCell ref="C16:D16"/>
    <mergeCell ref="C18:D18"/>
    <mergeCell ref="C20:D20"/>
    <mergeCell ref="C22:D22"/>
    <mergeCell ref="G31:H31"/>
    <mergeCell ref="I31:J31"/>
    <mergeCell ref="K31:M31"/>
    <mergeCell ref="C32:D32"/>
    <mergeCell ref="E32:F32"/>
    <mergeCell ref="C36:D36"/>
    <mergeCell ref="G32:H32"/>
    <mergeCell ref="E36:F36"/>
    <mergeCell ref="G36:H36"/>
    <mergeCell ref="I36:J36"/>
    <mergeCell ref="K36:M36"/>
    <mergeCell ref="C175:D175"/>
    <mergeCell ref="E175:F175"/>
    <mergeCell ref="G175:H175"/>
    <mergeCell ref="I175:J175"/>
    <mergeCell ref="K175:M175"/>
    <mergeCell ref="C308:D308"/>
    <mergeCell ref="E308:F308"/>
    <mergeCell ref="G308:H308"/>
    <mergeCell ref="I308:J308"/>
    <mergeCell ref="K308:M308"/>
    <mergeCell ref="C712:D712"/>
    <mergeCell ref="E712:F712"/>
    <mergeCell ref="G712:H712"/>
    <mergeCell ref="I712:J712"/>
    <mergeCell ref="K712:M712"/>
    <mergeCell ref="C37:D37"/>
    <mergeCell ref="E37:F37"/>
    <mergeCell ref="G37:H37"/>
    <mergeCell ref="I37:J37"/>
    <mergeCell ref="K37:M37"/>
    <mergeCell ref="B257:M257"/>
    <mergeCell ref="C258:D258"/>
    <mergeCell ref="E258:F258"/>
    <mergeCell ref="G258:H258"/>
    <mergeCell ref="I258:J258"/>
    <mergeCell ref="K258:M258"/>
    <mergeCell ref="C259:D259"/>
    <mergeCell ref="G259:H259"/>
  </mergeCells>
  <pageMargins left="0.25" right="0.25" top="0.25" bottom="0.25" header="0.3" footer="0.3"/>
  <pageSetup orientation="landscape" horizontalDpi="4294967293" r:id="rId1"/>
  <rowBreaks count="1" manualBreakCount="1">
    <brk id="1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D53B-D251-4ED9-ABC2-7DD3A72921D1}">
  <dimension ref="B1:W984"/>
  <sheetViews>
    <sheetView topLeftCell="A888" workbookViewId="0">
      <selection activeCell="N968" sqref="N1:S1048576"/>
    </sheetView>
  </sheetViews>
  <sheetFormatPr defaultRowHeight="15" x14ac:dyDescent="0.25"/>
  <cols>
    <col min="1" max="1" width="5.140625" customWidth="1"/>
    <col min="2" max="2" width="26.28515625" customWidth="1"/>
    <col min="3" max="3" width="9.140625" customWidth="1"/>
    <col min="14" max="19" width="0" hidden="1" customWidth="1"/>
  </cols>
  <sheetData>
    <row r="1" spans="2:15" ht="23.25" x14ac:dyDescent="0.35">
      <c r="B1" s="29" t="s">
        <v>334</v>
      </c>
      <c r="C1" s="295" t="s">
        <v>88</v>
      </c>
      <c r="D1" s="295"/>
      <c r="E1" s="295"/>
      <c r="F1" s="295"/>
      <c r="G1" s="295"/>
      <c r="H1" s="295"/>
      <c r="I1" s="295"/>
      <c r="J1" s="295"/>
    </row>
    <row r="2" spans="2:15" ht="18.75" x14ac:dyDescent="0.3">
      <c r="B2" s="12" t="s">
        <v>335</v>
      </c>
      <c r="C2" s="195" t="s">
        <v>4284</v>
      </c>
      <c r="D2" s="228" t="s">
        <v>427</v>
      </c>
      <c r="E2" s="228"/>
      <c r="F2" s="1" t="s">
        <v>4285</v>
      </c>
      <c r="L2" s="12" t="s">
        <v>339</v>
      </c>
      <c r="M2" s="6" t="s">
        <v>4286</v>
      </c>
    </row>
    <row r="4" spans="2:15" x14ac:dyDescent="0.25">
      <c r="B4" s="2" t="s">
        <v>341</v>
      </c>
      <c r="C4" s="250" t="s">
        <v>342</v>
      </c>
      <c r="D4" s="250"/>
      <c r="E4" s="250" t="s">
        <v>343</v>
      </c>
      <c r="F4" s="250"/>
      <c r="G4" s="250" t="s">
        <v>954</v>
      </c>
      <c r="H4" s="250"/>
      <c r="I4" s="228" t="s">
        <v>345</v>
      </c>
      <c r="J4" s="228"/>
      <c r="K4" s="228"/>
      <c r="L4" s="228"/>
      <c r="M4" s="228"/>
      <c r="O4" s="101" t="s">
        <v>732</v>
      </c>
    </row>
    <row r="5" spans="2:15" x14ac:dyDescent="0.25">
      <c r="C5" s="251"/>
      <c r="D5" s="251"/>
      <c r="E5" s="251"/>
      <c r="F5" s="251"/>
      <c r="G5" s="251"/>
      <c r="H5" s="251"/>
      <c r="I5" s="7"/>
      <c r="J5" s="7"/>
      <c r="K5" s="7"/>
      <c r="L5" s="7"/>
      <c r="M5" s="7"/>
    </row>
    <row r="6" spans="2:15" x14ac:dyDescent="0.25">
      <c r="B6" s="13" t="s">
        <v>1315</v>
      </c>
      <c r="C6" s="252" t="s">
        <v>4287</v>
      </c>
      <c r="D6" s="252"/>
      <c r="E6" s="252" t="s">
        <v>4288</v>
      </c>
      <c r="F6" s="252"/>
      <c r="G6" s="252" t="s">
        <v>3494</v>
      </c>
      <c r="H6" s="252"/>
      <c r="I6" s="14" t="s">
        <v>4289</v>
      </c>
      <c r="J6" s="14"/>
      <c r="K6" s="7"/>
      <c r="L6" s="7"/>
      <c r="M6" s="7"/>
      <c r="O6" s="98">
        <v>7.8E-2</v>
      </c>
    </row>
    <row r="7" spans="2:15" x14ac:dyDescent="0.25">
      <c r="B7" s="13"/>
      <c r="C7" s="196"/>
      <c r="D7" s="196"/>
      <c r="E7" s="252"/>
      <c r="F7" s="252"/>
      <c r="G7" s="252"/>
      <c r="H7" s="252"/>
      <c r="I7" s="14" t="s">
        <v>4290</v>
      </c>
      <c r="J7" s="14"/>
      <c r="K7" s="7"/>
      <c r="L7" s="7"/>
      <c r="M7" s="7"/>
      <c r="O7" s="98"/>
    </row>
    <row r="8" spans="2:15" x14ac:dyDescent="0.25">
      <c r="B8" s="14" t="s">
        <v>397</v>
      </c>
      <c r="C8" s="253" t="s">
        <v>4291</v>
      </c>
      <c r="D8" s="253"/>
      <c r="E8" s="253" t="s">
        <v>4292</v>
      </c>
      <c r="F8" s="253"/>
      <c r="G8" s="285" t="s">
        <v>4293</v>
      </c>
      <c r="H8" s="285"/>
      <c r="I8" s="14" t="s">
        <v>4294</v>
      </c>
      <c r="J8" s="14"/>
      <c r="K8" s="7"/>
      <c r="L8" s="7"/>
      <c r="M8" s="7"/>
      <c r="O8" s="98">
        <v>0</v>
      </c>
    </row>
    <row r="9" spans="2:15" x14ac:dyDescent="0.25">
      <c r="B9" s="14"/>
      <c r="C9" s="189"/>
      <c r="D9" s="189"/>
      <c r="E9" s="189"/>
      <c r="F9" s="189"/>
      <c r="G9" s="197"/>
      <c r="H9" s="197"/>
      <c r="I9" s="14" t="s">
        <v>4295</v>
      </c>
      <c r="J9" s="14"/>
      <c r="K9" s="7"/>
      <c r="L9" s="7"/>
      <c r="M9" s="7"/>
      <c r="O9" s="98"/>
    </row>
    <row r="10" spans="2:15" x14ac:dyDescent="0.25">
      <c r="B10" s="13" t="s">
        <v>518</v>
      </c>
      <c r="C10" s="252" t="s">
        <v>882</v>
      </c>
      <c r="D10" s="252"/>
      <c r="E10" s="252" t="s">
        <v>1131</v>
      </c>
      <c r="F10" s="252"/>
      <c r="G10" s="252" t="s">
        <v>1026</v>
      </c>
      <c r="H10" s="252"/>
      <c r="I10" s="14" t="s">
        <v>4296</v>
      </c>
      <c r="J10" s="14"/>
      <c r="K10" s="7"/>
      <c r="L10" s="7"/>
      <c r="M10" s="7"/>
      <c r="O10" s="109">
        <v>1.95E-4</v>
      </c>
    </row>
    <row r="11" spans="2:15" x14ac:dyDescent="0.25">
      <c r="B11" s="13"/>
      <c r="C11" s="188"/>
      <c r="D11" s="188"/>
      <c r="E11" s="188"/>
      <c r="F11" s="188"/>
      <c r="G11" s="196"/>
      <c r="H11" s="196"/>
      <c r="I11" s="14" t="s">
        <v>1830</v>
      </c>
      <c r="J11" s="14" t="s">
        <v>4297</v>
      </c>
      <c r="K11" s="7"/>
      <c r="L11" s="7"/>
      <c r="M11" s="7"/>
      <c r="O11" s="98"/>
    </row>
    <row r="12" spans="2:15" x14ac:dyDescent="0.25">
      <c r="B12" s="14"/>
      <c r="C12" s="189"/>
      <c r="D12" s="189"/>
      <c r="E12" s="189"/>
      <c r="F12" s="189"/>
      <c r="G12" s="197"/>
      <c r="H12" s="197"/>
      <c r="I12" s="14"/>
      <c r="J12" s="14" t="s">
        <v>4298</v>
      </c>
      <c r="K12" s="7"/>
      <c r="L12" s="7"/>
      <c r="M12" s="7"/>
      <c r="O12" s="100">
        <f>SUM(O6:O10)</f>
        <v>7.8195000000000001E-2</v>
      </c>
    </row>
    <row r="13" spans="2:15" x14ac:dyDescent="0.25">
      <c r="B13" s="14"/>
      <c r="C13" s="189"/>
      <c r="D13" s="189"/>
      <c r="E13" s="189"/>
      <c r="F13" s="189"/>
      <c r="G13" s="197"/>
      <c r="H13" s="197"/>
      <c r="I13" s="14"/>
      <c r="J13" s="14" t="s">
        <v>4299</v>
      </c>
      <c r="K13" s="7"/>
      <c r="L13" s="7"/>
      <c r="M13" s="7"/>
      <c r="O13" s="98"/>
    </row>
    <row r="14" spans="2:15" x14ac:dyDescent="0.25">
      <c r="B14" s="14"/>
      <c r="C14" s="189"/>
      <c r="D14" s="189"/>
      <c r="E14" s="189"/>
      <c r="F14" s="189"/>
      <c r="G14" s="197"/>
      <c r="H14" s="197"/>
      <c r="I14" s="14" t="s">
        <v>4300</v>
      </c>
      <c r="J14" s="14"/>
      <c r="K14" s="7"/>
      <c r="L14" s="7"/>
      <c r="M14" s="7"/>
      <c r="O14" s="98"/>
    </row>
    <row r="15" spans="2:15" x14ac:dyDescent="0.25">
      <c r="B15" s="14"/>
      <c r="C15" s="189"/>
      <c r="D15" s="189"/>
      <c r="E15" s="189"/>
      <c r="F15" s="189"/>
      <c r="G15" s="197"/>
      <c r="H15" s="197"/>
      <c r="I15" s="14" t="s">
        <v>4301</v>
      </c>
      <c r="J15" s="14"/>
      <c r="K15" s="7"/>
      <c r="L15" s="7"/>
      <c r="M15" s="7"/>
    </row>
    <row r="16" spans="2:15" x14ac:dyDescent="0.25">
      <c r="B16" s="14"/>
      <c r="C16" s="189"/>
      <c r="D16" s="189"/>
      <c r="E16" s="189"/>
      <c r="F16" s="189"/>
      <c r="G16" s="197"/>
      <c r="H16" s="197"/>
      <c r="I16" s="14" t="s">
        <v>1806</v>
      </c>
      <c r="J16" s="14"/>
      <c r="K16" s="7"/>
      <c r="L16" s="7"/>
      <c r="M16" s="7"/>
    </row>
    <row r="17" spans="2:13" x14ac:dyDescent="0.25">
      <c r="B17" s="14"/>
      <c r="C17" s="189"/>
      <c r="D17" s="189"/>
      <c r="E17" s="189"/>
      <c r="F17" s="189"/>
      <c r="G17" s="197"/>
      <c r="H17" s="197"/>
      <c r="I17" s="14" t="s">
        <v>4302</v>
      </c>
      <c r="J17" s="7"/>
      <c r="K17" s="7"/>
      <c r="L17" s="7"/>
      <c r="M17" s="7"/>
    </row>
    <row r="18" spans="2:13" ht="15.75" thickBot="1" x14ac:dyDescent="0.3">
      <c r="B18" s="14"/>
      <c r="C18" s="189"/>
      <c r="D18" s="189"/>
      <c r="E18" s="189"/>
      <c r="F18" s="189"/>
      <c r="G18" s="197"/>
      <c r="H18" s="197"/>
      <c r="I18" s="14" t="s">
        <v>4303</v>
      </c>
      <c r="J18" s="7"/>
      <c r="K18" s="7"/>
      <c r="L18" s="7"/>
      <c r="M18" s="7"/>
    </row>
    <row r="19" spans="2:13" x14ac:dyDescent="0.25">
      <c r="B19" s="217" t="s">
        <v>401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9"/>
    </row>
    <row r="20" spans="2:13" x14ac:dyDescent="0.25">
      <c r="B20" s="3" t="s">
        <v>402</v>
      </c>
      <c r="C20" s="232" t="s">
        <v>403</v>
      </c>
      <c r="D20" s="232"/>
      <c r="E20" s="232" t="s">
        <v>467</v>
      </c>
      <c r="F20" s="232"/>
      <c r="G20" s="232" t="s">
        <v>405</v>
      </c>
      <c r="H20" s="232"/>
      <c r="I20" s="232" t="s">
        <v>406</v>
      </c>
      <c r="J20" s="232"/>
      <c r="K20" s="234" t="s">
        <v>468</v>
      </c>
      <c r="L20" s="235"/>
      <c r="M20" s="236"/>
    </row>
    <row r="21" spans="2:13" ht="15.75" thickBot="1" x14ac:dyDescent="0.3">
      <c r="B21" s="4"/>
      <c r="C21" s="237">
        <v>1.5</v>
      </c>
      <c r="D21" s="238"/>
      <c r="E21" s="239"/>
      <c r="F21" s="238"/>
      <c r="G21" s="240"/>
      <c r="H21" s="240"/>
      <c r="I21" s="241"/>
      <c r="J21" s="241"/>
      <c r="K21" s="242"/>
      <c r="L21" s="243"/>
      <c r="M21" s="244"/>
    </row>
    <row r="22" spans="2:13" x14ac:dyDescent="0.25">
      <c r="B22" s="1"/>
      <c r="C22" s="1"/>
      <c r="D22" s="1"/>
      <c r="E22" s="1"/>
      <c r="F22" s="1"/>
      <c r="G22" s="1"/>
      <c r="H22" s="1"/>
    </row>
    <row r="23" spans="2:13" x14ac:dyDescent="0.25">
      <c r="B23" s="217" t="s">
        <v>408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/>
    </row>
    <row r="24" spans="2:13" x14ac:dyDescent="0.25">
      <c r="B24" s="122" t="s">
        <v>4304</v>
      </c>
      <c r="C24" s="220" t="s">
        <v>4305</v>
      </c>
      <c r="D24" s="220"/>
      <c r="E24" s="221" t="s">
        <v>4306</v>
      </c>
      <c r="F24" s="221"/>
      <c r="G24" s="221" t="s">
        <v>692</v>
      </c>
      <c r="H24" s="221"/>
      <c r="I24" s="220" t="s">
        <v>4307</v>
      </c>
      <c r="J24" s="220"/>
      <c r="K24" s="220" t="s">
        <v>3766</v>
      </c>
      <c r="L24" s="220"/>
      <c r="M24" s="222"/>
    </row>
    <row r="25" spans="2:13" x14ac:dyDescent="0.25">
      <c r="B25" s="123" t="s">
        <v>4308</v>
      </c>
      <c r="C25" s="225" t="s">
        <v>3919</v>
      </c>
      <c r="D25" s="226"/>
      <c r="E25" s="223" t="s">
        <v>567</v>
      </c>
      <c r="F25" s="223"/>
      <c r="G25" s="223" t="s">
        <v>4309</v>
      </c>
      <c r="H25" s="223"/>
      <c r="I25" s="227" t="s">
        <v>569</v>
      </c>
      <c r="J25" s="227"/>
      <c r="K25" s="223" t="s">
        <v>697</v>
      </c>
      <c r="L25" s="223"/>
      <c r="M25" s="224"/>
    </row>
    <row r="26" spans="2:13" x14ac:dyDescent="0.25">
      <c r="B26" s="123" t="s">
        <v>3560</v>
      </c>
      <c r="C26" s="225" t="s">
        <v>422</v>
      </c>
      <c r="D26" s="226"/>
      <c r="E26" s="227" t="s">
        <v>4310</v>
      </c>
      <c r="F26" s="227"/>
      <c r="G26" s="223" t="s">
        <v>573</v>
      </c>
      <c r="H26" s="223"/>
      <c r="I26" s="223" t="s">
        <v>574</v>
      </c>
      <c r="J26" s="223"/>
      <c r="K26" s="223" t="s">
        <v>575</v>
      </c>
      <c r="L26" s="223"/>
      <c r="M26" s="224"/>
    </row>
    <row r="28" spans="2:13" ht="23.25" x14ac:dyDescent="0.35">
      <c r="B28" s="29" t="s">
        <v>334</v>
      </c>
      <c r="C28" s="295" t="s">
        <v>93</v>
      </c>
      <c r="D28" s="295"/>
      <c r="E28" s="295"/>
      <c r="F28" s="295"/>
      <c r="G28" s="295"/>
      <c r="H28" s="295"/>
      <c r="I28" s="295"/>
      <c r="J28" s="295"/>
    </row>
    <row r="29" spans="2:13" ht="18.75" x14ac:dyDescent="0.3">
      <c r="B29" s="12" t="s">
        <v>335</v>
      </c>
      <c r="C29" s="195" t="s">
        <v>4284</v>
      </c>
      <c r="D29" s="228" t="s">
        <v>427</v>
      </c>
      <c r="E29" s="228"/>
      <c r="F29" s="1" t="s">
        <v>4285</v>
      </c>
      <c r="L29" s="12" t="s">
        <v>339</v>
      </c>
      <c r="M29" s="6" t="s">
        <v>4311</v>
      </c>
    </row>
    <row r="31" spans="2:13" x14ac:dyDescent="0.25">
      <c r="B31" s="2" t="s">
        <v>341</v>
      </c>
      <c r="C31" s="250" t="s">
        <v>342</v>
      </c>
      <c r="D31" s="250"/>
      <c r="E31" s="250" t="s">
        <v>343</v>
      </c>
      <c r="F31" s="250"/>
      <c r="G31" s="250" t="s">
        <v>954</v>
      </c>
      <c r="H31" s="250"/>
      <c r="I31" s="228" t="s">
        <v>345</v>
      </c>
      <c r="J31" s="228"/>
      <c r="K31" s="228"/>
      <c r="L31" s="228"/>
      <c r="M31" s="228"/>
    </row>
    <row r="32" spans="2:13" x14ac:dyDescent="0.25">
      <c r="C32" s="251"/>
      <c r="D32" s="251"/>
      <c r="E32" s="251"/>
      <c r="F32" s="251"/>
      <c r="G32" s="251"/>
      <c r="H32" s="251"/>
      <c r="I32" s="7"/>
      <c r="J32" s="7"/>
      <c r="K32" s="7"/>
      <c r="L32" s="7"/>
      <c r="M32" s="7"/>
    </row>
    <row r="33" spans="2:13" x14ac:dyDescent="0.25">
      <c r="B33" s="13" t="s">
        <v>4312</v>
      </c>
      <c r="C33" s="252" t="s">
        <v>2212</v>
      </c>
      <c r="D33" s="252"/>
      <c r="E33" s="252" t="s">
        <v>4251</v>
      </c>
      <c r="F33" s="252"/>
      <c r="G33" s="252" t="s">
        <v>4313</v>
      </c>
      <c r="H33" s="252"/>
      <c r="I33" s="14" t="s">
        <v>4289</v>
      </c>
      <c r="J33" s="14"/>
      <c r="K33" s="7"/>
      <c r="L33" s="7"/>
      <c r="M33" s="7"/>
    </row>
    <row r="34" spans="2:13" x14ac:dyDescent="0.25">
      <c r="B34" s="13" t="s">
        <v>4314</v>
      </c>
      <c r="C34" s="13"/>
      <c r="D34" s="13"/>
      <c r="E34" s="13"/>
      <c r="F34" s="13"/>
      <c r="G34" s="13"/>
      <c r="H34" s="13"/>
      <c r="I34" s="14" t="s">
        <v>4315</v>
      </c>
      <c r="J34" s="14"/>
      <c r="K34" s="7"/>
      <c r="L34" s="7"/>
      <c r="M34" s="7"/>
    </row>
    <row r="35" spans="2:13" x14ac:dyDescent="0.25">
      <c r="B35" s="13" t="s">
        <v>4316</v>
      </c>
      <c r="C35" s="252" t="s">
        <v>4317</v>
      </c>
      <c r="D35" s="252"/>
      <c r="E35" s="252" t="s">
        <v>4318</v>
      </c>
      <c r="F35" s="252"/>
      <c r="G35" s="252" t="s">
        <v>4319</v>
      </c>
      <c r="H35" s="252"/>
      <c r="I35" s="14" t="s">
        <v>4320</v>
      </c>
      <c r="J35" s="14"/>
      <c r="K35" s="7"/>
      <c r="L35" s="7"/>
      <c r="M35" s="7"/>
    </row>
    <row r="36" spans="2:13" x14ac:dyDescent="0.25">
      <c r="B36" s="30" t="s">
        <v>4321</v>
      </c>
      <c r="C36" s="13"/>
      <c r="D36" s="13"/>
      <c r="E36" s="13"/>
      <c r="F36" s="13"/>
      <c r="G36" s="13"/>
      <c r="H36" s="13"/>
      <c r="I36" s="14" t="s">
        <v>4322</v>
      </c>
      <c r="J36" s="14"/>
      <c r="K36" s="7"/>
      <c r="L36" s="7"/>
      <c r="M36" s="7"/>
    </row>
    <row r="37" spans="2:13" x14ac:dyDescent="0.25">
      <c r="B37" s="13" t="s">
        <v>4323</v>
      </c>
      <c r="C37" s="252" t="s">
        <v>1544</v>
      </c>
      <c r="D37" s="252"/>
      <c r="E37" s="252" t="s">
        <v>2840</v>
      </c>
      <c r="F37" s="252"/>
      <c r="G37" s="252" t="s">
        <v>4166</v>
      </c>
      <c r="H37" s="252"/>
      <c r="I37" s="14" t="s">
        <v>4324</v>
      </c>
      <c r="J37" s="14"/>
      <c r="K37" s="7"/>
      <c r="L37" s="7"/>
      <c r="M37" s="7"/>
    </row>
    <row r="38" spans="2:13" x14ac:dyDescent="0.25">
      <c r="B38" s="13" t="s">
        <v>4325</v>
      </c>
      <c r="C38" s="13"/>
      <c r="D38" s="13"/>
      <c r="E38" s="13"/>
      <c r="F38" s="13"/>
      <c r="G38" s="13"/>
      <c r="H38" s="13"/>
      <c r="I38" s="14" t="s">
        <v>4294</v>
      </c>
      <c r="K38" s="7"/>
      <c r="L38" s="7"/>
      <c r="M38" s="7"/>
    </row>
    <row r="39" spans="2:13" x14ac:dyDescent="0.25">
      <c r="B39" s="14" t="s">
        <v>4326</v>
      </c>
      <c r="C39" s="253" t="s">
        <v>2125</v>
      </c>
      <c r="D39" s="253"/>
      <c r="E39" s="253" t="s">
        <v>2932</v>
      </c>
      <c r="F39" s="253"/>
      <c r="G39" s="253" t="s">
        <v>2780</v>
      </c>
      <c r="H39" s="253"/>
      <c r="I39" s="14" t="s">
        <v>4327</v>
      </c>
      <c r="K39" s="7"/>
      <c r="L39" s="7"/>
      <c r="M39" s="7"/>
    </row>
    <row r="40" spans="2:13" x14ac:dyDescent="0.25">
      <c r="B40" s="14"/>
      <c r="C40" s="14"/>
      <c r="D40" s="14"/>
      <c r="E40" s="14"/>
      <c r="F40" s="14"/>
      <c r="G40" s="14"/>
      <c r="H40" s="14"/>
      <c r="I40" s="14" t="s">
        <v>4328</v>
      </c>
      <c r="K40" s="7"/>
      <c r="L40" s="7"/>
      <c r="M40" s="7"/>
    </row>
    <row r="41" spans="2:13" x14ac:dyDescent="0.25">
      <c r="B41" s="13" t="s">
        <v>518</v>
      </c>
      <c r="C41" s="252" t="s">
        <v>882</v>
      </c>
      <c r="D41" s="252"/>
      <c r="E41" s="252" t="s">
        <v>1131</v>
      </c>
      <c r="F41" s="252"/>
      <c r="G41" s="252" t="s">
        <v>1026</v>
      </c>
      <c r="H41" s="252"/>
      <c r="I41" s="14" t="s">
        <v>4329</v>
      </c>
      <c r="K41" s="7"/>
      <c r="L41" s="7"/>
      <c r="M41" s="7"/>
    </row>
    <row r="42" spans="2:13" x14ac:dyDescent="0.25">
      <c r="B42" s="8"/>
      <c r="C42" s="8"/>
      <c r="D42" s="8"/>
      <c r="E42" s="8"/>
      <c r="F42" s="8"/>
      <c r="G42" s="8"/>
      <c r="H42" s="8"/>
      <c r="I42" s="14" t="s">
        <v>1830</v>
      </c>
      <c r="J42" s="14" t="s">
        <v>4330</v>
      </c>
      <c r="K42" s="7"/>
      <c r="L42" s="7"/>
      <c r="M42" s="7"/>
    </row>
    <row r="43" spans="2:13" x14ac:dyDescent="0.25">
      <c r="B43" s="14"/>
      <c r="C43" s="189"/>
      <c r="D43" s="189"/>
      <c r="E43" s="189"/>
      <c r="F43" s="189"/>
      <c r="G43" s="197"/>
      <c r="H43" s="197"/>
      <c r="I43" s="14"/>
      <c r="J43" s="14" t="s">
        <v>4331</v>
      </c>
      <c r="K43" s="7"/>
      <c r="L43" s="7"/>
      <c r="M43" s="7"/>
    </row>
    <row r="44" spans="2:13" x14ac:dyDescent="0.25">
      <c r="B44" s="14"/>
      <c r="C44" s="189"/>
      <c r="D44" s="189"/>
      <c r="E44" s="189"/>
      <c r="F44" s="189"/>
      <c r="G44" s="197"/>
      <c r="H44" s="197"/>
      <c r="I44" s="14"/>
      <c r="J44" s="14" t="s">
        <v>4299</v>
      </c>
      <c r="K44" s="7"/>
      <c r="L44" s="7"/>
      <c r="M44" s="7"/>
    </row>
    <row r="45" spans="2:13" x14ac:dyDescent="0.25">
      <c r="B45" s="14"/>
      <c r="C45" s="189"/>
      <c r="D45" s="189"/>
      <c r="E45" s="189"/>
      <c r="F45" s="189"/>
      <c r="G45" s="197"/>
      <c r="H45" s="197"/>
      <c r="I45" s="14" t="s">
        <v>4332</v>
      </c>
      <c r="J45" s="14"/>
      <c r="K45" s="7"/>
      <c r="L45" s="7"/>
      <c r="M45" s="7"/>
    </row>
    <row r="46" spans="2:13" x14ac:dyDescent="0.25">
      <c r="B46" s="14"/>
      <c r="C46" s="189"/>
      <c r="D46" s="189"/>
      <c r="E46" s="189"/>
      <c r="F46" s="189"/>
      <c r="G46" s="197"/>
      <c r="H46" s="197"/>
      <c r="I46" s="14" t="s">
        <v>4301</v>
      </c>
      <c r="J46" s="14"/>
      <c r="K46" s="7"/>
      <c r="L46" s="7"/>
      <c r="M46" s="7"/>
    </row>
    <row r="47" spans="2:13" x14ac:dyDescent="0.25">
      <c r="B47" s="14"/>
      <c r="C47" s="189"/>
      <c r="D47" s="189"/>
      <c r="E47" s="189"/>
      <c r="F47" s="189"/>
      <c r="G47" s="197"/>
      <c r="H47" s="197"/>
      <c r="I47" s="14" t="s">
        <v>1806</v>
      </c>
      <c r="J47" s="14"/>
      <c r="K47" s="7"/>
      <c r="L47" s="7"/>
      <c r="M47" s="7"/>
    </row>
    <row r="48" spans="2:13" x14ac:dyDescent="0.25">
      <c r="B48" s="14"/>
      <c r="C48" s="189"/>
      <c r="D48" s="189"/>
      <c r="E48" s="189"/>
      <c r="F48" s="189"/>
      <c r="G48" s="197"/>
      <c r="H48" s="197"/>
      <c r="I48" s="14" t="s">
        <v>4302</v>
      </c>
      <c r="J48" s="7"/>
      <c r="K48" s="7"/>
      <c r="L48" s="7"/>
      <c r="M48" s="7"/>
    </row>
    <row r="49" spans="2:23" ht="15.75" thickBot="1" x14ac:dyDescent="0.3">
      <c r="B49" s="14"/>
      <c r="C49" s="197"/>
      <c r="D49" s="197"/>
      <c r="E49" s="253"/>
      <c r="F49" s="253"/>
      <c r="G49" s="253"/>
      <c r="H49" s="253"/>
      <c r="I49" s="14" t="s">
        <v>4303</v>
      </c>
      <c r="J49" s="7"/>
      <c r="K49" s="7"/>
      <c r="L49" s="7"/>
      <c r="M49" s="7"/>
    </row>
    <row r="50" spans="2:23" x14ac:dyDescent="0.25">
      <c r="B50" s="217" t="s">
        <v>401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9"/>
    </row>
    <row r="51" spans="2:23" x14ac:dyDescent="0.25">
      <c r="B51" s="3" t="s">
        <v>402</v>
      </c>
      <c r="C51" s="232" t="s">
        <v>403</v>
      </c>
      <c r="D51" s="232"/>
      <c r="E51" s="232" t="s">
        <v>467</v>
      </c>
      <c r="F51" s="232"/>
      <c r="G51" s="232" t="s">
        <v>405</v>
      </c>
      <c r="H51" s="232"/>
      <c r="I51" s="232" t="s">
        <v>406</v>
      </c>
      <c r="J51" s="232"/>
      <c r="K51" s="234" t="s">
        <v>468</v>
      </c>
      <c r="L51" s="235"/>
      <c r="M51" s="236"/>
    </row>
    <row r="52" spans="2:23" ht="15.75" thickBot="1" x14ac:dyDescent="0.3">
      <c r="B52" s="4"/>
      <c r="C52" s="237">
        <v>1.5</v>
      </c>
      <c r="D52" s="238"/>
      <c r="E52" s="239"/>
      <c r="F52" s="238"/>
      <c r="G52" s="240"/>
      <c r="H52" s="240"/>
      <c r="I52" s="241"/>
      <c r="J52" s="241"/>
      <c r="K52" s="242"/>
      <c r="L52" s="243"/>
      <c r="M52" s="244"/>
    </row>
    <row r="53" spans="2:23" ht="15.75" thickBot="1" x14ac:dyDescent="0.3">
      <c r="B53" s="1"/>
      <c r="C53" s="1"/>
      <c r="D53" s="1"/>
      <c r="E53" s="1"/>
      <c r="F53" s="1"/>
      <c r="G53" s="1"/>
      <c r="H53" s="1"/>
    </row>
    <row r="54" spans="2:23" x14ac:dyDescent="0.25">
      <c r="B54" s="217" t="s">
        <v>408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</row>
    <row r="55" spans="2:23" x14ac:dyDescent="0.25">
      <c r="B55" s="3" t="s">
        <v>4333</v>
      </c>
      <c r="C55" s="232" t="s">
        <v>4334</v>
      </c>
      <c r="D55" s="232"/>
      <c r="E55" s="268" t="s">
        <v>1554</v>
      </c>
      <c r="F55" s="268"/>
      <c r="G55" s="232" t="s">
        <v>4335</v>
      </c>
      <c r="H55" s="232"/>
      <c r="I55" s="232" t="s">
        <v>4336</v>
      </c>
      <c r="J55" s="232"/>
      <c r="K55" s="232" t="s">
        <v>4337</v>
      </c>
      <c r="L55" s="232"/>
      <c r="M55" s="269"/>
    </row>
    <row r="56" spans="2:23" ht="15.75" thickBot="1" x14ac:dyDescent="0.3">
      <c r="B56" s="5" t="s">
        <v>4338</v>
      </c>
      <c r="C56" s="237" t="s">
        <v>4339</v>
      </c>
      <c r="D56" s="238"/>
      <c r="E56" s="240" t="s">
        <v>4340</v>
      </c>
      <c r="F56" s="240"/>
      <c r="G56" s="266" t="s">
        <v>4341</v>
      </c>
      <c r="H56" s="266"/>
      <c r="I56" s="240" t="s">
        <v>4342</v>
      </c>
      <c r="J56" s="240"/>
      <c r="K56" s="240" t="s">
        <v>4343</v>
      </c>
      <c r="L56" s="240"/>
      <c r="M56" s="267"/>
    </row>
    <row r="57" spans="2:23" x14ac:dyDescent="0.25">
      <c r="P57" s="334"/>
      <c r="Q57" s="334"/>
      <c r="R57" s="334"/>
      <c r="S57" s="334"/>
      <c r="T57" s="334"/>
      <c r="U57" s="334"/>
      <c r="V57" s="334"/>
      <c r="W57" s="334"/>
    </row>
    <row r="58" spans="2:23" ht="23.25" x14ac:dyDescent="0.35">
      <c r="B58" s="29" t="s">
        <v>334</v>
      </c>
      <c r="C58" s="229" t="s">
        <v>83</v>
      </c>
      <c r="D58" s="229"/>
      <c r="E58" s="229"/>
      <c r="F58" s="229"/>
      <c r="G58" s="229"/>
      <c r="H58" s="229"/>
      <c r="I58" s="229"/>
      <c r="J58" s="229"/>
      <c r="P58" s="334"/>
      <c r="Q58" s="334"/>
      <c r="R58" s="334"/>
      <c r="S58" s="334"/>
      <c r="T58" s="334"/>
      <c r="U58" s="334"/>
      <c r="V58" s="334"/>
      <c r="W58" s="334"/>
    </row>
    <row r="59" spans="2:23" ht="18.75" x14ac:dyDescent="0.3">
      <c r="B59" s="12" t="s">
        <v>335</v>
      </c>
      <c r="C59" s="195" t="s">
        <v>4284</v>
      </c>
      <c r="D59" s="228" t="s">
        <v>427</v>
      </c>
      <c r="E59" s="228"/>
      <c r="F59" s="1" t="s">
        <v>4344</v>
      </c>
      <c r="L59" s="12" t="s">
        <v>339</v>
      </c>
      <c r="M59" s="6" t="s">
        <v>4345</v>
      </c>
    </row>
    <row r="61" spans="2:23" x14ac:dyDescent="0.25">
      <c r="B61" s="2" t="s">
        <v>341</v>
      </c>
      <c r="C61" s="250" t="s">
        <v>4346</v>
      </c>
      <c r="D61" s="250"/>
      <c r="E61" s="250" t="s">
        <v>4347</v>
      </c>
      <c r="F61" s="250"/>
      <c r="G61" s="250" t="s">
        <v>4348</v>
      </c>
      <c r="H61" s="250"/>
      <c r="I61" s="228" t="s">
        <v>345</v>
      </c>
      <c r="J61" s="228"/>
      <c r="K61" s="228"/>
      <c r="L61" s="228"/>
      <c r="M61" s="228"/>
    </row>
    <row r="62" spans="2:23" x14ac:dyDescent="0.25">
      <c r="C62" s="251"/>
      <c r="D62" s="251"/>
      <c r="E62" s="251"/>
      <c r="F62" s="251"/>
      <c r="G62" s="251"/>
      <c r="H62" s="251"/>
      <c r="I62" s="7"/>
      <c r="J62" s="7"/>
      <c r="K62" s="7"/>
      <c r="L62" s="7"/>
      <c r="M62" s="7"/>
    </row>
    <row r="63" spans="2:23" x14ac:dyDescent="0.25">
      <c r="B63" s="11" t="s">
        <v>1458</v>
      </c>
      <c r="C63" s="323" t="s">
        <v>744</v>
      </c>
      <c r="D63" s="323" t="s">
        <v>744</v>
      </c>
      <c r="E63" s="252" t="s">
        <v>508</v>
      </c>
      <c r="F63" s="252" t="s">
        <v>508</v>
      </c>
      <c r="G63" s="252" t="s">
        <v>391</v>
      </c>
      <c r="H63" s="252" t="s">
        <v>390</v>
      </c>
      <c r="I63" s="14" t="s">
        <v>4349</v>
      </c>
      <c r="J63" s="7"/>
      <c r="K63" s="7"/>
      <c r="L63" s="7"/>
      <c r="M63" s="7"/>
    </row>
    <row r="64" spans="2:23" x14ac:dyDescent="0.25">
      <c r="B64" s="11"/>
      <c r="C64" s="205"/>
      <c r="D64" s="205"/>
      <c r="E64" s="252"/>
      <c r="F64" s="252"/>
      <c r="G64" s="252"/>
      <c r="H64" s="252"/>
      <c r="I64" t="s">
        <v>4350</v>
      </c>
      <c r="J64" s="7"/>
      <c r="K64" s="7"/>
      <c r="L64" s="7"/>
      <c r="M64" s="7"/>
    </row>
    <row r="65" spans="2:13" x14ac:dyDescent="0.25">
      <c r="B65" s="32" t="s">
        <v>2217</v>
      </c>
      <c r="C65" s="290" t="s">
        <v>390</v>
      </c>
      <c r="D65" s="290" t="s">
        <v>390</v>
      </c>
      <c r="E65" s="253" t="s">
        <v>392</v>
      </c>
      <c r="F65" s="253" t="s">
        <v>392</v>
      </c>
      <c r="G65" s="253" t="s">
        <v>789</v>
      </c>
      <c r="H65" s="253" t="s">
        <v>789</v>
      </c>
      <c r="I65" s="14" t="s">
        <v>4351</v>
      </c>
      <c r="J65" s="7"/>
      <c r="K65" s="7"/>
      <c r="L65" s="7"/>
      <c r="M65" s="7"/>
    </row>
    <row r="66" spans="2:13" x14ac:dyDescent="0.25">
      <c r="B66" s="32"/>
      <c r="C66" s="189"/>
      <c r="D66" s="189"/>
      <c r="E66" s="253"/>
      <c r="F66" s="253"/>
      <c r="G66" s="253"/>
      <c r="H66" s="253"/>
      <c r="I66" s="14" t="s">
        <v>4352</v>
      </c>
      <c r="J66" s="7"/>
      <c r="K66" s="7"/>
      <c r="L66" s="7"/>
      <c r="M66" s="7"/>
    </row>
    <row r="67" spans="2:13" x14ac:dyDescent="0.25">
      <c r="B67" s="11" t="s">
        <v>2326</v>
      </c>
      <c r="C67" s="323" t="s">
        <v>744</v>
      </c>
      <c r="D67" s="323" t="s">
        <v>744</v>
      </c>
      <c r="E67" s="252" t="s">
        <v>508</v>
      </c>
      <c r="F67" s="252" t="s">
        <v>508</v>
      </c>
      <c r="G67" s="252" t="s">
        <v>392</v>
      </c>
      <c r="H67" s="252" t="s">
        <v>390</v>
      </c>
      <c r="I67" t="s">
        <v>4353</v>
      </c>
      <c r="J67" s="7"/>
      <c r="K67" s="7"/>
      <c r="L67" s="7"/>
      <c r="M67" s="7"/>
    </row>
    <row r="68" spans="2:13" x14ac:dyDescent="0.25">
      <c r="B68" s="11"/>
      <c r="C68" s="188"/>
      <c r="D68" s="188"/>
      <c r="E68" s="252"/>
      <c r="F68" s="252"/>
      <c r="G68" s="252"/>
      <c r="H68" s="252"/>
      <c r="I68" s="14" t="s">
        <v>4354</v>
      </c>
      <c r="J68" s="7"/>
      <c r="K68" s="7"/>
      <c r="L68" s="7"/>
      <c r="M68" s="7"/>
    </row>
    <row r="69" spans="2:13" x14ac:dyDescent="0.25">
      <c r="B69" s="32" t="s">
        <v>1207</v>
      </c>
      <c r="C69" s="290" t="s">
        <v>4355</v>
      </c>
      <c r="D69" s="290" t="s">
        <v>4356</v>
      </c>
      <c r="E69" s="253" t="s">
        <v>4357</v>
      </c>
      <c r="F69" s="253" t="s">
        <v>854</v>
      </c>
      <c r="G69" s="253" t="s">
        <v>4358</v>
      </c>
      <c r="H69" s="253" t="s">
        <v>1443</v>
      </c>
      <c r="I69" s="14" t="s">
        <v>4359</v>
      </c>
      <c r="J69" s="7"/>
      <c r="K69" s="7"/>
      <c r="L69" s="7"/>
      <c r="M69" s="7"/>
    </row>
    <row r="70" spans="2:13" x14ac:dyDescent="0.25">
      <c r="B70" s="32"/>
      <c r="C70" s="189"/>
      <c r="D70" s="189"/>
      <c r="E70" s="253"/>
      <c r="F70" s="253"/>
      <c r="G70" s="253"/>
      <c r="H70" s="253"/>
      <c r="I70" s="14" t="s">
        <v>4360</v>
      </c>
      <c r="J70" s="7"/>
      <c r="K70" s="7"/>
      <c r="L70" s="7"/>
      <c r="M70" s="7"/>
    </row>
    <row r="71" spans="2:13" x14ac:dyDescent="0.25">
      <c r="B71" s="11" t="s">
        <v>4361</v>
      </c>
      <c r="C71" s="323" t="s">
        <v>4362</v>
      </c>
      <c r="D71" s="323" t="s">
        <v>4362</v>
      </c>
      <c r="E71" s="252" t="s">
        <v>1759</v>
      </c>
      <c r="F71" s="252" t="s">
        <v>1759</v>
      </c>
      <c r="G71" s="252" t="s">
        <v>1635</v>
      </c>
      <c r="H71" s="252" t="s">
        <v>1635</v>
      </c>
      <c r="I71" s="14" t="s">
        <v>4363</v>
      </c>
      <c r="K71" s="7"/>
      <c r="L71" s="7"/>
      <c r="M71" s="7"/>
    </row>
    <row r="72" spans="2:13" x14ac:dyDescent="0.25">
      <c r="B72" s="11"/>
      <c r="C72" s="323" t="s">
        <v>4364</v>
      </c>
      <c r="D72" s="323"/>
      <c r="E72" s="252" t="s">
        <v>4365</v>
      </c>
      <c r="F72" s="252"/>
      <c r="G72" s="252" t="s">
        <v>4366</v>
      </c>
      <c r="H72" s="252"/>
      <c r="I72" s="14"/>
      <c r="J72" s="7"/>
      <c r="K72" s="7"/>
      <c r="L72" s="7"/>
      <c r="M72" s="7"/>
    </row>
    <row r="73" spans="2:13" x14ac:dyDescent="0.25">
      <c r="B73" s="32" t="s">
        <v>4367</v>
      </c>
      <c r="C73" s="290" t="s">
        <v>1759</v>
      </c>
      <c r="D73" s="290" t="s">
        <v>3212</v>
      </c>
      <c r="E73" s="253" t="s">
        <v>1635</v>
      </c>
      <c r="F73" s="253" t="s">
        <v>4368</v>
      </c>
      <c r="G73" s="253" t="s">
        <v>1319</v>
      </c>
      <c r="H73" s="253" t="s">
        <v>2218</v>
      </c>
      <c r="I73" s="14"/>
      <c r="J73" s="14"/>
      <c r="K73" s="7"/>
      <c r="L73" s="7"/>
      <c r="M73" s="7"/>
    </row>
    <row r="74" spans="2:13" x14ac:dyDescent="0.25">
      <c r="B74" s="32"/>
      <c r="C74" s="199"/>
      <c r="D74" s="199"/>
      <c r="E74" s="253"/>
      <c r="F74" s="253"/>
      <c r="G74" s="253"/>
      <c r="H74" s="253"/>
      <c r="I74" s="14"/>
      <c r="J74" s="14"/>
      <c r="K74" s="7"/>
      <c r="L74" s="7"/>
      <c r="M74" s="7"/>
    </row>
    <row r="75" spans="2:13" x14ac:dyDescent="0.25">
      <c r="B75" s="11" t="s">
        <v>518</v>
      </c>
      <c r="C75" s="323" t="s">
        <v>491</v>
      </c>
      <c r="D75" s="323" t="s">
        <v>657</v>
      </c>
      <c r="E75" s="252" t="s">
        <v>1640</v>
      </c>
      <c r="F75" s="252" t="s">
        <v>486</v>
      </c>
      <c r="G75" s="252" t="s">
        <v>391</v>
      </c>
      <c r="H75" s="252" t="s">
        <v>4369</v>
      </c>
      <c r="I75" s="14"/>
      <c r="K75" s="7"/>
      <c r="L75" s="7"/>
      <c r="M75" s="7"/>
    </row>
    <row r="76" spans="2:13" x14ac:dyDescent="0.25">
      <c r="B76" s="11"/>
      <c r="C76" s="205"/>
      <c r="D76" s="205"/>
      <c r="E76" s="252"/>
      <c r="F76" s="252"/>
      <c r="G76" s="252"/>
      <c r="H76" s="252"/>
      <c r="I76" s="14"/>
    </row>
    <row r="77" spans="2:13" x14ac:dyDescent="0.25">
      <c r="B77" s="32" t="s">
        <v>4370</v>
      </c>
      <c r="C77" s="290" t="s">
        <v>495</v>
      </c>
      <c r="D77" s="290" t="s">
        <v>495</v>
      </c>
      <c r="E77" s="253" t="s">
        <v>2708</v>
      </c>
      <c r="F77" s="253" t="s">
        <v>2708</v>
      </c>
      <c r="G77" s="253" t="s">
        <v>437</v>
      </c>
      <c r="H77" s="253" t="s">
        <v>437</v>
      </c>
      <c r="I77" s="14"/>
    </row>
    <row r="78" spans="2:13" x14ac:dyDescent="0.25">
      <c r="B78" s="32"/>
      <c r="C78" s="199"/>
      <c r="D78" s="199"/>
      <c r="E78" s="253"/>
      <c r="F78" s="253"/>
      <c r="G78" s="253"/>
      <c r="H78" s="253"/>
      <c r="I78" s="14"/>
    </row>
    <row r="79" spans="2:13" x14ac:dyDescent="0.25">
      <c r="B79" s="11" t="s">
        <v>4371</v>
      </c>
      <c r="C79" s="323" t="s">
        <v>4372</v>
      </c>
      <c r="D79" s="323" t="s">
        <v>4372</v>
      </c>
      <c r="E79" s="252" t="s">
        <v>495</v>
      </c>
      <c r="F79" s="252" t="s">
        <v>495</v>
      </c>
      <c r="G79" s="252" t="s">
        <v>496</v>
      </c>
      <c r="H79" s="252" t="s">
        <v>2708</v>
      </c>
      <c r="I79" s="14"/>
    </row>
    <row r="80" spans="2:13" x14ac:dyDescent="0.25">
      <c r="B80" s="11"/>
      <c r="C80" s="205"/>
      <c r="D80" s="205"/>
      <c r="E80" s="252"/>
      <c r="F80" s="252"/>
      <c r="G80" s="252"/>
      <c r="H80" s="252"/>
    </row>
    <row r="81" spans="2:13" x14ac:dyDescent="0.25">
      <c r="B81" s="32" t="s">
        <v>1913</v>
      </c>
      <c r="C81" s="290" t="s">
        <v>508</v>
      </c>
      <c r="D81" s="290" t="s">
        <v>508</v>
      </c>
      <c r="E81" s="253" t="s">
        <v>390</v>
      </c>
      <c r="F81" s="253" t="s">
        <v>390</v>
      </c>
      <c r="G81" s="253" t="s">
        <v>789</v>
      </c>
      <c r="H81" s="253" t="s">
        <v>392</v>
      </c>
    </row>
    <row r="82" spans="2:13" x14ac:dyDescent="0.25">
      <c r="B82" s="32"/>
      <c r="C82" s="189"/>
      <c r="D82" s="189"/>
      <c r="E82" s="253"/>
      <c r="F82" s="253"/>
      <c r="G82" s="253"/>
      <c r="H82" s="253"/>
    </row>
    <row r="83" spans="2:13" x14ac:dyDescent="0.25">
      <c r="B83" s="11" t="s">
        <v>397</v>
      </c>
      <c r="C83" s="252" t="s">
        <v>1635</v>
      </c>
      <c r="D83" s="252" t="s">
        <v>1036</v>
      </c>
      <c r="E83" s="252" t="s">
        <v>1319</v>
      </c>
      <c r="F83" s="252" t="s">
        <v>1274</v>
      </c>
      <c r="G83" s="252" t="s">
        <v>2125</v>
      </c>
      <c r="H83" s="252" t="s">
        <v>3312</v>
      </c>
    </row>
    <row r="84" spans="2:13" x14ac:dyDescent="0.25">
      <c r="B84" s="11"/>
      <c r="C84" s="188"/>
      <c r="D84" s="188"/>
      <c r="E84" s="188"/>
      <c r="F84" s="188"/>
      <c r="G84" s="188"/>
      <c r="H84" s="188"/>
    </row>
    <row r="85" spans="2:13" x14ac:dyDescent="0.25">
      <c r="B85" s="32" t="s">
        <v>889</v>
      </c>
      <c r="C85" s="255" t="s">
        <v>657</v>
      </c>
      <c r="D85" s="255"/>
      <c r="E85" s="255" t="s">
        <v>486</v>
      </c>
      <c r="F85" s="255"/>
      <c r="G85" s="255" t="s">
        <v>744</v>
      </c>
      <c r="H85" s="255"/>
    </row>
    <row r="86" spans="2:13" ht="15.75" thickBot="1" x14ac:dyDescent="0.3">
      <c r="B86" s="32"/>
      <c r="C86" s="79"/>
      <c r="D86" s="201"/>
      <c r="E86" s="191"/>
      <c r="F86" s="191"/>
      <c r="G86" s="191"/>
      <c r="H86" s="191"/>
    </row>
    <row r="87" spans="2:13" x14ac:dyDescent="0.25">
      <c r="B87" s="217" t="s">
        <v>401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9"/>
    </row>
    <row r="88" spans="2:13" x14ac:dyDescent="0.25">
      <c r="B88" s="3" t="s">
        <v>402</v>
      </c>
      <c r="C88" s="232" t="s">
        <v>403</v>
      </c>
      <c r="D88" s="232"/>
      <c r="E88" s="233" t="s">
        <v>404</v>
      </c>
      <c r="F88" s="233"/>
      <c r="G88" s="233" t="s">
        <v>1241</v>
      </c>
      <c r="H88" s="233"/>
      <c r="I88" s="232" t="s">
        <v>406</v>
      </c>
      <c r="J88" s="232"/>
      <c r="K88" s="234" t="s">
        <v>407</v>
      </c>
      <c r="L88" s="235"/>
      <c r="M88" s="236"/>
    </row>
    <row r="89" spans="2:13" ht="15.75" thickBot="1" x14ac:dyDescent="0.3">
      <c r="B89" s="5"/>
      <c r="C89" s="237">
        <v>3.1</v>
      </c>
      <c r="D89" s="238"/>
      <c r="E89" s="239">
        <v>0.12130000000000001</v>
      </c>
      <c r="F89" s="238"/>
      <c r="G89" s="240">
        <v>5.0000000000000001E-3</v>
      </c>
      <c r="H89" s="240"/>
      <c r="I89" s="241"/>
      <c r="J89" s="241"/>
      <c r="K89" s="242">
        <v>2.239E-2</v>
      </c>
      <c r="L89" s="243"/>
      <c r="M89" s="244"/>
    </row>
    <row r="90" spans="2:13" x14ac:dyDescent="0.25">
      <c r="B90" s="1"/>
      <c r="C90" s="1"/>
      <c r="D90" s="1"/>
      <c r="E90" s="1"/>
      <c r="F90" s="1"/>
      <c r="G90" s="1"/>
      <c r="H90" s="1"/>
    </row>
    <row r="91" spans="2:13" x14ac:dyDescent="0.25">
      <c r="B91" s="217" t="s">
        <v>408</v>
      </c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9"/>
    </row>
    <row r="92" spans="2:13" x14ac:dyDescent="0.25">
      <c r="B92" s="122" t="s">
        <v>3424</v>
      </c>
      <c r="C92" s="220" t="s">
        <v>4373</v>
      </c>
      <c r="D92" s="220"/>
      <c r="E92" s="221" t="s">
        <v>691</v>
      </c>
      <c r="F92" s="221"/>
      <c r="G92" s="221" t="s">
        <v>692</v>
      </c>
      <c r="H92" s="221"/>
      <c r="I92" s="220" t="s">
        <v>4374</v>
      </c>
      <c r="J92" s="220"/>
      <c r="K92" s="220" t="s">
        <v>4375</v>
      </c>
      <c r="L92" s="220"/>
      <c r="M92" s="222"/>
    </row>
    <row r="93" spans="2:13" x14ac:dyDescent="0.25">
      <c r="B93" s="123" t="s">
        <v>1558</v>
      </c>
      <c r="C93" s="225" t="s">
        <v>3209</v>
      </c>
      <c r="D93" s="226"/>
      <c r="E93" s="227" t="s">
        <v>4376</v>
      </c>
      <c r="F93" s="227"/>
      <c r="G93" s="223" t="s">
        <v>3974</v>
      </c>
      <c r="H93" s="223"/>
      <c r="I93" s="227" t="s">
        <v>4377</v>
      </c>
      <c r="J93" s="227"/>
      <c r="K93" s="223" t="s">
        <v>4378</v>
      </c>
      <c r="L93" s="223"/>
      <c r="M93" s="224"/>
    </row>
    <row r="94" spans="2:13" x14ac:dyDescent="0.25">
      <c r="B94" s="123" t="s">
        <v>4379</v>
      </c>
      <c r="C94" s="225" t="s">
        <v>422</v>
      </c>
      <c r="D94" s="226"/>
      <c r="E94" s="227" t="s">
        <v>4380</v>
      </c>
      <c r="F94" s="227"/>
      <c r="G94" s="223" t="s">
        <v>648</v>
      </c>
      <c r="H94" s="223"/>
      <c r="I94" s="223" t="s">
        <v>649</v>
      </c>
      <c r="J94" s="223"/>
      <c r="K94" s="223" t="s">
        <v>575</v>
      </c>
      <c r="L94" s="223"/>
      <c r="M94" s="224"/>
    </row>
    <row r="96" spans="2:13" ht="23.25" x14ac:dyDescent="0.35">
      <c r="B96" s="29" t="s">
        <v>334</v>
      </c>
      <c r="C96" s="229" t="s">
        <v>68</v>
      </c>
      <c r="D96" s="229"/>
      <c r="E96" s="229"/>
      <c r="F96" s="229"/>
      <c r="G96" s="229"/>
      <c r="H96" s="229"/>
      <c r="I96" s="229"/>
      <c r="J96" s="229"/>
    </row>
    <row r="97" spans="2:13" ht="18.75" x14ac:dyDescent="0.3">
      <c r="B97" s="12" t="s">
        <v>335</v>
      </c>
      <c r="C97" s="195" t="s">
        <v>4284</v>
      </c>
      <c r="D97" s="228" t="s">
        <v>427</v>
      </c>
      <c r="E97" s="228"/>
      <c r="F97" s="1" t="s">
        <v>4344</v>
      </c>
      <c r="L97" s="12" t="s">
        <v>339</v>
      </c>
      <c r="M97" s="6" t="s">
        <v>4381</v>
      </c>
    </row>
    <row r="99" spans="2:13" x14ac:dyDescent="0.25">
      <c r="B99" s="2" t="s">
        <v>341</v>
      </c>
      <c r="C99" s="250" t="s">
        <v>4382</v>
      </c>
      <c r="D99" s="250"/>
      <c r="E99" s="250" t="s">
        <v>4383</v>
      </c>
      <c r="F99" s="250"/>
      <c r="G99" s="250" t="s">
        <v>4384</v>
      </c>
      <c r="H99" s="250"/>
      <c r="I99" s="228" t="s">
        <v>345</v>
      </c>
      <c r="J99" s="228"/>
      <c r="K99" s="228"/>
      <c r="L99" s="228"/>
      <c r="M99" s="228"/>
    </row>
    <row r="100" spans="2:13" x14ac:dyDescent="0.25">
      <c r="C100" s="251"/>
      <c r="D100" s="251"/>
      <c r="E100" s="251"/>
      <c r="F100" s="251"/>
      <c r="G100" s="251"/>
      <c r="H100" s="251"/>
      <c r="I100" s="7"/>
      <c r="J100" s="7"/>
      <c r="K100" s="7"/>
      <c r="L100" s="7"/>
      <c r="M100" s="7"/>
    </row>
    <row r="101" spans="2:13" x14ac:dyDescent="0.25">
      <c r="B101" s="11" t="s">
        <v>4385</v>
      </c>
      <c r="C101" s="323" t="s">
        <v>653</v>
      </c>
      <c r="D101" s="323" t="s">
        <v>744</v>
      </c>
      <c r="E101" s="252" t="s">
        <v>4386</v>
      </c>
      <c r="F101" s="252" t="s">
        <v>508</v>
      </c>
      <c r="G101" s="323" t="s">
        <v>843</v>
      </c>
      <c r="H101" s="323" t="s">
        <v>744</v>
      </c>
      <c r="I101" s="14" t="s">
        <v>4387</v>
      </c>
      <c r="J101" s="7"/>
      <c r="K101" s="7"/>
      <c r="L101" s="7"/>
      <c r="M101" s="7"/>
    </row>
    <row r="102" spans="2:13" x14ac:dyDescent="0.25">
      <c r="B102" s="11" t="s">
        <v>4051</v>
      </c>
      <c r="C102" s="205"/>
      <c r="D102" s="205"/>
      <c r="E102" s="252"/>
      <c r="F102" s="252"/>
      <c r="G102" s="205"/>
      <c r="H102" s="205"/>
      <c r="I102" s="14" t="s">
        <v>4388</v>
      </c>
      <c r="J102" s="7"/>
      <c r="K102" s="7"/>
      <c r="L102" s="7"/>
      <c r="M102" s="7"/>
    </row>
    <row r="103" spans="2:13" x14ac:dyDescent="0.25">
      <c r="B103" s="32" t="s">
        <v>4389</v>
      </c>
      <c r="C103" s="290" t="s">
        <v>1765</v>
      </c>
      <c r="D103" s="290" t="s">
        <v>390</v>
      </c>
      <c r="E103" s="253" t="s">
        <v>1759</v>
      </c>
      <c r="F103" s="253" t="s">
        <v>392</v>
      </c>
      <c r="G103" s="290" t="s">
        <v>1635</v>
      </c>
      <c r="H103" s="290" t="s">
        <v>390</v>
      </c>
      <c r="I103" s="14" t="s">
        <v>3443</v>
      </c>
      <c r="J103" s="7"/>
      <c r="K103" s="7"/>
      <c r="L103" s="7"/>
      <c r="M103" s="7"/>
    </row>
    <row r="104" spans="2:13" x14ac:dyDescent="0.25">
      <c r="B104" s="32"/>
      <c r="C104" s="189"/>
      <c r="D104" s="189"/>
      <c r="E104" s="253"/>
      <c r="F104" s="253"/>
      <c r="G104" s="189"/>
      <c r="H104" s="189"/>
      <c r="I104" s="14" t="s">
        <v>4390</v>
      </c>
      <c r="J104" s="7"/>
      <c r="K104" s="7"/>
      <c r="L104" s="7"/>
      <c r="M104" s="7"/>
    </row>
    <row r="105" spans="2:13" x14ac:dyDescent="0.25">
      <c r="B105" s="11" t="s">
        <v>1149</v>
      </c>
      <c r="C105" s="323" t="s">
        <v>4391</v>
      </c>
      <c r="D105" s="323" t="s">
        <v>744</v>
      </c>
      <c r="E105" s="252" t="s">
        <v>854</v>
      </c>
      <c r="F105" s="252" t="s">
        <v>508</v>
      </c>
      <c r="G105" s="323" t="s">
        <v>1443</v>
      </c>
      <c r="H105" s="323" t="s">
        <v>744</v>
      </c>
      <c r="I105" s="14" t="s">
        <v>4392</v>
      </c>
      <c r="J105" s="7"/>
      <c r="K105" s="7"/>
      <c r="L105" s="7"/>
      <c r="M105" s="7"/>
    </row>
    <row r="106" spans="2:13" x14ac:dyDescent="0.25">
      <c r="B106" s="11"/>
      <c r="C106" s="188"/>
      <c r="D106" s="188"/>
      <c r="E106" s="252"/>
      <c r="F106" s="252"/>
      <c r="G106" s="188"/>
      <c r="H106" s="188"/>
      <c r="I106" s="14" t="s">
        <v>1446</v>
      </c>
      <c r="J106" s="7"/>
      <c r="K106" s="7"/>
      <c r="L106" s="7"/>
      <c r="M106" s="7"/>
    </row>
    <row r="107" spans="2:13" x14ac:dyDescent="0.25">
      <c r="B107" s="32" t="s">
        <v>4393</v>
      </c>
      <c r="C107" s="290" t="s">
        <v>4394</v>
      </c>
      <c r="D107" s="290" t="s">
        <v>4356</v>
      </c>
      <c r="E107" s="253" t="s">
        <v>4395</v>
      </c>
      <c r="F107" s="253" t="s">
        <v>854</v>
      </c>
      <c r="G107" s="290" t="s">
        <v>1037</v>
      </c>
      <c r="H107" s="290" t="s">
        <v>4356</v>
      </c>
      <c r="I107" s="14" t="s">
        <v>4396</v>
      </c>
      <c r="J107" s="7"/>
      <c r="K107" s="7"/>
      <c r="L107" s="7"/>
      <c r="M107" s="7"/>
    </row>
    <row r="108" spans="2:13" x14ac:dyDescent="0.25">
      <c r="B108" s="32"/>
      <c r="C108" s="189"/>
      <c r="D108" s="189"/>
      <c r="E108" s="253"/>
      <c r="F108" s="253"/>
      <c r="G108" s="189"/>
      <c r="H108" s="189"/>
      <c r="I108" s="14" t="s">
        <v>4397</v>
      </c>
      <c r="J108" s="7"/>
      <c r="K108" s="7"/>
      <c r="L108" s="7"/>
      <c r="M108" s="7"/>
    </row>
    <row r="109" spans="2:13" x14ac:dyDescent="0.25">
      <c r="B109" s="11" t="s">
        <v>4398</v>
      </c>
      <c r="C109" s="323" t="s">
        <v>4394</v>
      </c>
      <c r="D109" s="323" t="s">
        <v>4362</v>
      </c>
      <c r="E109" s="252" t="s">
        <v>4395</v>
      </c>
      <c r="F109" s="252" t="s">
        <v>1759</v>
      </c>
      <c r="G109" s="323" t="s">
        <v>1037</v>
      </c>
      <c r="H109" s="323" t="s">
        <v>4362</v>
      </c>
      <c r="I109" s="14" t="s">
        <v>4399</v>
      </c>
      <c r="K109" s="7"/>
      <c r="L109" s="7"/>
      <c r="M109" s="7"/>
    </row>
    <row r="110" spans="2:13" x14ac:dyDescent="0.25">
      <c r="B110" s="11"/>
      <c r="C110" s="205"/>
      <c r="D110" s="205"/>
      <c r="E110" s="252"/>
      <c r="F110" s="252"/>
      <c r="G110" s="205"/>
      <c r="H110" s="205"/>
      <c r="I110" s="14"/>
      <c r="J110" s="7"/>
      <c r="K110" s="7"/>
      <c r="L110" s="7"/>
      <c r="M110" s="7"/>
    </row>
    <row r="111" spans="2:13" x14ac:dyDescent="0.25">
      <c r="B111" s="32" t="s">
        <v>4400</v>
      </c>
      <c r="C111" s="290" t="s">
        <v>1628</v>
      </c>
      <c r="D111" s="290" t="s">
        <v>3212</v>
      </c>
      <c r="E111" s="253" t="s">
        <v>1630</v>
      </c>
      <c r="F111" s="253" t="s">
        <v>4368</v>
      </c>
      <c r="G111" s="290" t="s">
        <v>508</v>
      </c>
      <c r="H111" s="290" t="s">
        <v>3212</v>
      </c>
      <c r="I111" s="14"/>
      <c r="J111" s="14"/>
      <c r="K111" s="7"/>
      <c r="L111" s="7"/>
      <c r="M111" s="7"/>
    </row>
    <row r="112" spans="2:13" x14ac:dyDescent="0.25">
      <c r="B112" s="32"/>
      <c r="C112" s="199"/>
      <c r="D112" s="199"/>
      <c r="E112" s="253"/>
      <c r="F112" s="253"/>
      <c r="G112" s="199"/>
      <c r="H112" s="199"/>
      <c r="I112" s="14"/>
      <c r="J112" s="14"/>
      <c r="K112" s="7"/>
      <c r="L112" s="7"/>
      <c r="M112" s="7"/>
    </row>
    <row r="113" spans="2:13" x14ac:dyDescent="0.25">
      <c r="B113" s="11" t="s">
        <v>518</v>
      </c>
      <c r="C113" s="323" t="s">
        <v>3835</v>
      </c>
      <c r="D113" s="323" t="s">
        <v>657</v>
      </c>
      <c r="E113" s="252" t="s">
        <v>4401</v>
      </c>
      <c r="F113" s="252" t="s">
        <v>486</v>
      </c>
      <c r="G113" s="323" t="s">
        <v>513</v>
      </c>
      <c r="H113" s="323" t="s">
        <v>657</v>
      </c>
      <c r="I113" s="14"/>
      <c r="K113" s="7"/>
      <c r="L113" s="7"/>
      <c r="M113" s="7"/>
    </row>
    <row r="114" spans="2:13" x14ac:dyDescent="0.25">
      <c r="B114" s="11"/>
      <c r="C114" s="205"/>
      <c r="D114" s="205"/>
      <c r="E114" s="252"/>
      <c r="F114" s="252"/>
      <c r="G114" s="205"/>
      <c r="H114" s="205"/>
      <c r="I114" s="14"/>
    </row>
    <row r="115" spans="2:13" x14ac:dyDescent="0.25">
      <c r="B115" s="32" t="s">
        <v>4402</v>
      </c>
      <c r="C115" s="290" t="s">
        <v>4403</v>
      </c>
      <c r="D115" s="290" t="s">
        <v>495</v>
      </c>
      <c r="E115" s="253" t="s">
        <v>2250</v>
      </c>
      <c r="F115" s="253" t="s">
        <v>2708</v>
      </c>
      <c r="G115" s="290" t="s">
        <v>486</v>
      </c>
      <c r="H115" s="290" t="s">
        <v>495</v>
      </c>
      <c r="I115" s="14"/>
    </row>
    <row r="116" spans="2:13" x14ac:dyDescent="0.25">
      <c r="B116" s="32"/>
      <c r="C116" s="199"/>
      <c r="D116" s="199"/>
      <c r="E116" s="253"/>
      <c r="F116" s="253"/>
      <c r="G116" s="199"/>
      <c r="H116" s="199"/>
      <c r="I116" s="14"/>
    </row>
    <row r="117" spans="2:13" x14ac:dyDescent="0.25">
      <c r="B117" s="11" t="s">
        <v>1046</v>
      </c>
      <c r="C117" s="323" t="s">
        <v>2250</v>
      </c>
      <c r="D117" s="323" t="s">
        <v>4372</v>
      </c>
      <c r="E117" s="252" t="s">
        <v>1628</v>
      </c>
      <c r="F117" s="252" t="s">
        <v>495</v>
      </c>
      <c r="G117" s="323" t="s">
        <v>744</v>
      </c>
      <c r="H117" s="323" t="s">
        <v>4372</v>
      </c>
      <c r="I117" s="14"/>
    </row>
    <row r="118" spans="2:13" x14ac:dyDescent="0.25">
      <c r="B118" s="11"/>
      <c r="C118" s="205"/>
      <c r="D118" s="205"/>
      <c r="E118" s="252"/>
      <c r="F118" s="252"/>
      <c r="G118" s="205"/>
      <c r="H118" s="205"/>
    </row>
    <row r="119" spans="2:13" x14ac:dyDescent="0.25">
      <c r="B119" s="32" t="s">
        <v>1952</v>
      </c>
      <c r="C119" s="290" t="s">
        <v>4404</v>
      </c>
      <c r="D119" s="290" t="s">
        <v>508</v>
      </c>
      <c r="E119" s="253" t="s">
        <v>1629</v>
      </c>
      <c r="F119" s="253" t="s">
        <v>390</v>
      </c>
      <c r="G119" s="290" t="s">
        <v>891</v>
      </c>
      <c r="H119" s="290" t="s">
        <v>508</v>
      </c>
    </row>
    <row r="120" spans="2:13" ht="15.75" thickBot="1" x14ac:dyDescent="0.3">
      <c r="B120" s="32"/>
      <c r="C120" s="189"/>
      <c r="D120" s="189"/>
      <c r="E120" s="253"/>
      <c r="F120" s="253"/>
      <c r="G120" s="189"/>
      <c r="H120" s="189"/>
    </row>
    <row r="121" spans="2:13" x14ac:dyDescent="0.25">
      <c r="B121" s="217" t="s">
        <v>401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9"/>
    </row>
    <row r="122" spans="2:13" x14ac:dyDescent="0.25">
      <c r="B122" s="3" t="s">
        <v>402</v>
      </c>
      <c r="C122" s="232" t="s">
        <v>403</v>
      </c>
      <c r="D122" s="232"/>
      <c r="E122" s="232" t="s">
        <v>407</v>
      </c>
      <c r="F122" s="232"/>
      <c r="G122" s="232" t="s">
        <v>405</v>
      </c>
      <c r="H122" s="232"/>
      <c r="I122" s="232" t="s">
        <v>406</v>
      </c>
      <c r="J122" s="232"/>
      <c r="K122" s="234" t="s">
        <v>468</v>
      </c>
      <c r="L122" s="235"/>
      <c r="M122" s="236"/>
    </row>
    <row r="123" spans="2:13" ht="15.75" thickBot="1" x14ac:dyDescent="0.3">
      <c r="B123" s="5"/>
      <c r="C123" s="237">
        <v>1.22</v>
      </c>
      <c r="D123" s="238"/>
      <c r="E123" s="239">
        <v>6.5286999999999998E-2</v>
      </c>
      <c r="F123" s="238"/>
      <c r="G123" s="240"/>
      <c r="H123" s="240"/>
      <c r="I123" s="241"/>
      <c r="J123" s="241"/>
      <c r="K123" s="242"/>
      <c r="L123" s="243"/>
      <c r="M123" s="244"/>
    </row>
    <row r="124" spans="2:13" x14ac:dyDescent="0.25">
      <c r="B124" s="1"/>
      <c r="C124" s="1"/>
      <c r="D124" s="1"/>
      <c r="E124" s="1"/>
      <c r="F124" s="1"/>
      <c r="G124" s="1"/>
      <c r="H124" s="1"/>
    </row>
    <row r="125" spans="2:13" x14ac:dyDescent="0.25">
      <c r="B125" s="217" t="s">
        <v>408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9"/>
    </row>
    <row r="126" spans="2:13" x14ac:dyDescent="0.25">
      <c r="B126" s="122" t="s">
        <v>4405</v>
      </c>
      <c r="C126" s="220" t="s">
        <v>4406</v>
      </c>
      <c r="D126" s="220"/>
      <c r="E126" s="221" t="s">
        <v>932</v>
      </c>
      <c r="F126" s="221"/>
      <c r="G126" s="221" t="s">
        <v>4407</v>
      </c>
      <c r="H126" s="221"/>
      <c r="I126" s="220" t="s">
        <v>4408</v>
      </c>
      <c r="J126" s="220"/>
      <c r="K126" s="220" t="s">
        <v>4409</v>
      </c>
      <c r="L126" s="220"/>
      <c r="M126" s="222"/>
    </row>
    <row r="127" spans="2:13" x14ac:dyDescent="0.25">
      <c r="B127" s="123" t="s">
        <v>4410</v>
      </c>
      <c r="C127" s="225" t="s">
        <v>416</v>
      </c>
      <c r="D127" s="226"/>
      <c r="E127" s="227" t="s">
        <v>4411</v>
      </c>
      <c r="F127" s="227"/>
      <c r="G127" s="223" t="s">
        <v>4412</v>
      </c>
      <c r="H127" s="223"/>
      <c r="I127" s="227" t="s">
        <v>4413</v>
      </c>
      <c r="J127" s="227"/>
      <c r="K127" s="223" t="s">
        <v>4414</v>
      </c>
      <c r="L127" s="223"/>
      <c r="M127" s="224"/>
    </row>
    <row r="128" spans="2:13" ht="15.75" customHeight="1" x14ac:dyDescent="0.25">
      <c r="B128" s="123" t="s">
        <v>4415</v>
      </c>
      <c r="C128" s="225" t="s">
        <v>422</v>
      </c>
      <c r="D128" s="226"/>
      <c r="E128" s="227" t="s">
        <v>4416</v>
      </c>
      <c r="F128" s="227"/>
      <c r="G128" s="223" t="s">
        <v>1484</v>
      </c>
      <c r="H128" s="223"/>
      <c r="I128" s="223" t="s">
        <v>4417</v>
      </c>
      <c r="J128" s="223"/>
      <c r="K128" s="223" t="s">
        <v>4418</v>
      </c>
      <c r="L128" s="223"/>
      <c r="M128" s="224"/>
    </row>
    <row r="130" spans="2:13" ht="23.25" x14ac:dyDescent="0.35">
      <c r="B130" s="29" t="s">
        <v>334</v>
      </c>
      <c r="C130" s="295" t="s">
        <v>78</v>
      </c>
      <c r="D130" s="295"/>
      <c r="E130" s="295"/>
      <c r="F130" s="295"/>
      <c r="G130" s="295"/>
      <c r="H130" s="295"/>
      <c r="I130" s="295"/>
      <c r="J130" s="295"/>
    </row>
    <row r="131" spans="2:13" ht="18.75" x14ac:dyDescent="0.3">
      <c r="B131" s="12" t="s">
        <v>335</v>
      </c>
      <c r="C131" s="195" t="s">
        <v>4284</v>
      </c>
      <c r="D131" s="228" t="s">
        <v>427</v>
      </c>
      <c r="E131" s="228"/>
      <c r="F131" s="1" t="s">
        <v>4285</v>
      </c>
      <c r="L131" s="12" t="s">
        <v>339</v>
      </c>
      <c r="M131" s="6" t="s">
        <v>4419</v>
      </c>
    </row>
    <row r="133" spans="2:13" x14ac:dyDescent="0.25">
      <c r="B133" s="2" t="s">
        <v>341</v>
      </c>
      <c r="C133" s="250" t="s">
        <v>342</v>
      </c>
      <c r="D133" s="250"/>
      <c r="E133" s="250" t="s">
        <v>343</v>
      </c>
      <c r="F133" s="250"/>
      <c r="G133" s="250" t="s">
        <v>954</v>
      </c>
      <c r="H133" s="250"/>
      <c r="I133" s="228" t="s">
        <v>345</v>
      </c>
      <c r="J133" s="228"/>
      <c r="K133" s="228"/>
      <c r="L133" s="228"/>
      <c r="M133" s="228"/>
    </row>
    <row r="134" spans="2:13" x14ac:dyDescent="0.25">
      <c r="C134" s="251"/>
      <c r="D134" s="251"/>
      <c r="E134" s="251"/>
      <c r="F134" s="251"/>
      <c r="G134" s="251"/>
      <c r="H134" s="251"/>
      <c r="I134" s="7"/>
      <c r="J134" s="7"/>
      <c r="K134" s="7"/>
      <c r="L134" s="7"/>
      <c r="M134" s="7"/>
    </row>
    <row r="135" spans="2:13" x14ac:dyDescent="0.25">
      <c r="B135" s="13" t="s">
        <v>4420</v>
      </c>
      <c r="C135" s="252" t="s">
        <v>4317</v>
      </c>
      <c r="D135" s="252"/>
      <c r="E135" s="252" t="s">
        <v>4421</v>
      </c>
      <c r="F135" s="252"/>
      <c r="G135" s="252" t="s">
        <v>4422</v>
      </c>
      <c r="H135" s="252"/>
      <c r="I135" s="14" t="s">
        <v>4423</v>
      </c>
      <c r="J135" s="14"/>
      <c r="K135" s="7"/>
      <c r="L135" s="7"/>
      <c r="M135" s="7"/>
    </row>
    <row r="136" spans="2:13" x14ac:dyDescent="0.25">
      <c r="B136" s="13"/>
      <c r="C136" s="188"/>
      <c r="D136" s="188"/>
      <c r="E136" s="252"/>
      <c r="F136" s="252"/>
      <c r="G136" s="252"/>
      <c r="H136" s="252"/>
      <c r="I136" s="14" t="s">
        <v>4424</v>
      </c>
      <c r="J136" s="14"/>
      <c r="K136" s="7"/>
      <c r="L136" s="7"/>
      <c r="M136" s="7"/>
    </row>
    <row r="137" spans="2:13" x14ac:dyDescent="0.25">
      <c r="B137" s="14" t="s">
        <v>397</v>
      </c>
      <c r="C137" s="253" t="s">
        <v>2234</v>
      </c>
      <c r="D137" s="253"/>
      <c r="E137" s="253" t="s">
        <v>2235</v>
      </c>
      <c r="F137" s="253"/>
      <c r="G137" s="253" t="s">
        <v>3332</v>
      </c>
      <c r="H137" s="253"/>
      <c r="I137" s="14" t="s">
        <v>2934</v>
      </c>
      <c r="J137" s="14"/>
      <c r="K137" s="7"/>
      <c r="L137" s="7"/>
      <c r="M137" s="7"/>
    </row>
    <row r="138" spans="2:13" x14ac:dyDescent="0.25">
      <c r="B138" s="14"/>
      <c r="C138" s="189"/>
      <c r="D138" s="189"/>
      <c r="E138" s="189"/>
      <c r="F138" s="189"/>
      <c r="G138" s="197"/>
      <c r="H138" s="197"/>
      <c r="I138" s="14" t="s">
        <v>4425</v>
      </c>
      <c r="J138" s="14"/>
      <c r="K138" s="7"/>
      <c r="L138" s="7"/>
      <c r="M138" s="7"/>
    </row>
    <row r="139" spans="2:13" x14ac:dyDescent="0.25">
      <c r="B139" s="14"/>
      <c r="C139" s="189"/>
      <c r="D139" s="189"/>
      <c r="E139" s="189"/>
      <c r="F139" s="189"/>
      <c r="G139" s="197"/>
      <c r="H139" s="197"/>
      <c r="I139" s="14" t="s">
        <v>2936</v>
      </c>
      <c r="J139" s="14"/>
      <c r="K139" s="7"/>
      <c r="L139" s="7"/>
      <c r="M139" s="7"/>
    </row>
    <row r="140" spans="2:13" x14ac:dyDescent="0.25">
      <c r="B140" s="14"/>
      <c r="C140" s="189"/>
      <c r="D140" s="189"/>
      <c r="E140" s="189"/>
      <c r="F140" s="189"/>
      <c r="G140" s="197"/>
      <c r="H140" s="197"/>
      <c r="I140" s="14" t="s">
        <v>4426</v>
      </c>
      <c r="J140" s="14"/>
      <c r="K140" s="7"/>
      <c r="L140" s="7"/>
      <c r="M140" s="7"/>
    </row>
    <row r="141" spans="2:13" ht="15.75" thickBot="1" x14ac:dyDescent="0.3">
      <c r="B141" s="14"/>
      <c r="C141" s="189"/>
      <c r="D141" s="189"/>
      <c r="E141" s="189"/>
      <c r="F141" s="189"/>
      <c r="G141" s="197"/>
      <c r="H141" s="197"/>
      <c r="I141" s="14" t="s">
        <v>4427</v>
      </c>
      <c r="J141" s="14"/>
      <c r="K141" s="7"/>
      <c r="L141" s="7"/>
      <c r="M141" s="7"/>
    </row>
    <row r="142" spans="2:13" x14ac:dyDescent="0.25">
      <c r="B142" s="217" t="s">
        <v>401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9"/>
    </row>
    <row r="143" spans="2:13" x14ac:dyDescent="0.25">
      <c r="B143" s="3" t="s">
        <v>402</v>
      </c>
      <c r="C143" s="232" t="s">
        <v>403</v>
      </c>
      <c r="D143" s="232"/>
      <c r="E143" s="232" t="s">
        <v>467</v>
      </c>
      <c r="F143" s="232"/>
      <c r="G143" s="232" t="s">
        <v>405</v>
      </c>
      <c r="H143" s="232"/>
      <c r="I143" s="232" t="s">
        <v>406</v>
      </c>
      <c r="J143" s="232"/>
      <c r="K143" s="234" t="s">
        <v>468</v>
      </c>
      <c r="L143" s="235"/>
      <c r="M143" s="236"/>
    </row>
    <row r="144" spans="2:13" ht="15.75" thickBot="1" x14ac:dyDescent="0.3">
      <c r="B144" s="4"/>
      <c r="C144" s="237">
        <v>2.875</v>
      </c>
      <c r="D144" s="238"/>
      <c r="E144" s="239"/>
      <c r="F144" s="238"/>
      <c r="G144" s="240"/>
      <c r="H144" s="240"/>
      <c r="I144" s="241"/>
      <c r="J144" s="241"/>
      <c r="K144" s="242"/>
      <c r="L144" s="243"/>
      <c r="M144" s="244"/>
    </row>
    <row r="145" spans="2:14" x14ac:dyDescent="0.25">
      <c r="B145" s="1"/>
      <c r="C145" s="1"/>
      <c r="D145" s="1"/>
      <c r="E145" s="1"/>
      <c r="F145" s="1"/>
      <c r="G145" s="1"/>
      <c r="H145" s="1"/>
    </row>
    <row r="146" spans="2:14" x14ac:dyDescent="0.25">
      <c r="B146" s="217" t="s">
        <v>408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9"/>
    </row>
    <row r="147" spans="2:14" x14ac:dyDescent="0.25">
      <c r="B147" s="122" t="s">
        <v>4428</v>
      </c>
      <c r="C147" s="220" t="s">
        <v>4429</v>
      </c>
      <c r="D147" s="220"/>
      <c r="E147" s="221" t="s">
        <v>4306</v>
      </c>
      <c r="F147" s="221"/>
      <c r="G147" s="221" t="s">
        <v>692</v>
      </c>
      <c r="H147" s="221"/>
      <c r="I147" s="220" t="s">
        <v>4430</v>
      </c>
      <c r="J147" s="220"/>
      <c r="K147" s="220" t="s">
        <v>4431</v>
      </c>
      <c r="L147" s="220"/>
      <c r="M147" s="222"/>
    </row>
    <row r="148" spans="2:14" x14ac:dyDescent="0.25">
      <c r="B148" s="123" t="s">
        <v>622</v>
      </c>
      <c r="C148" s="225" t="s">
        <v>4432</v>
      </c>
      <c r="D148" s="226"/>
      <c r="E148" s="223" t="s">
        <v>567</v>
      </c>
      <c r="F148" s="223"/>
      <c r="G148" s="223" t="s">
        <v>4433</v>
      </c>
      <c r="H148" s="223"/>
      <c r="I148" s="227" t="s">
        <v>569</v>
      </c>
      <c r="J148" s="227"/>
      <c r="K148" s="223" t="s">
        <v>4434</v>
      </c>
      <c r="L148" s="223"/>
      <c r="M148" s="224"/>
    </row>
    <row r="149" spans="2:14" x14ac:dyDescent="0.25">
      <c r="B149" s="123" t="s">
        <v>3560</v>
      </c>
      <c r="C149" s="225" t="s">
        <v>422</v>
      </c>
      <c r="D149" s="226"/>
      <c r="E149" s="227" t="s">
        <v>4435</v>
      </c>
      <c r="F149" s="227"/>
      <c r="G149" s="223" t="s">
        <v>573</v>
      </c>
      <c r="H149" s="223"/>
      <c r="I149" s="223" t="s">
        <v>574</v>
      </c>
      <c r="J149" s="223"/>
      <c r="K149" s="223" t="s">
        <v>575</v>
      </c>
      <c r="L149" s="223"/>
      <c r="M149" s="224"/>
    </row>
    <row r="151" spans="2:14" ht="23.25" x14ac:dyDescent="0.35">
      <c r="B151" s="29" t="s">
        <v>334</v>
      </c>
      <c r="C151" s="295" t="s">
        <v>103</v>
      </c>
      <c r="D151" s="295"/>
      <c r="E151" s="295"/>
      <c r="F151" s="295"/>
      <c r="G151" s="295"/>
      <c r="H151" s="295"/>
      <c r="I151" s="295"/>
      <c r="J151" s="295"/>
      <c r="N151" s="101" t="s">
        <v>481</v>
      </c>
    </row>
    <row r="152" spans="2:14" ht="18.75" x14ac:dyDescent="0.3">
      <c r="B152" s="12" t="s">
        <v>335</v>
      </c>
      <c r="C152" s="195" t="s">
        <v>4284</v>
      </c>
      <c r="D152" s="228" t="s">
        <v>427</v>
      </c>
      <c r="E152" s="228"/>
      <c r="F152" s="1" t="s">
        <v>4164</v>
      </c>
      <c r="L152" s="12" t="s">
        <v>339</v>
      </c>
      <c r="M152" s="6" t="s">
        <v>4436</v>
      </c>
    </row>
    <row r="154" spans="2:14" x14ac:dyDescent="0.25">
      <c r="B154" s="2" t="s">
        <v>341</v>
      </c>
      <c r="C154" s="250" t="s">
        <v>342</v>
      </c>
      <c r="D154" s="250"/>
      <c r="E154" s="250" t="s">
        <v>343</v>
      </c>
      <c r="F154" s="250"/>
      <c r="G154" s="250" t="s">
        <v>954</v>
      </c>
      <c r="H154" s="250"/>
      <c r="I154" s="228" t="s">
        <v>345</v>
      </c>
      <c r="J154" s="228"/>
      <c r="K154" s="228"/>
      <c r="L154" s="228"/>
      <c r="M154" s="228"/>
      <c r="N154" s="101" t="s">
        <v>1262</v>
      </c>
    </row>
    <row r="155" spans="2:14" x14ac:dyDescent="0.25">
      <c r="C155" s="251"/>
      <c r="D155" s="251"/>
      <c r="E155" s="251"/>
      <c r="F155" s="251"/>
      <c r="G155" s="251"/>
      <c r="H155" s="251"/>
      <c r="I155" s="7"/>
      <c r="J155" s="7"/>
      <c r="K155" s="7"/>
      <c r="L155" s="7"/>
      <c r="M155" s="7"/>
    </row>
    <row r="156" spans="2:14" x14ac:dyDescent="0.25">
      <c r="B156" s="13" t="s">
        <v>4437</v>
      </c>
      <c r="C156" s="252" t="s">
        <v>4438</v>
      </c>
      <c r="D156" s="252"/>
      <c r="E156" s="252" t="s">
        <v>4439</v>
      </c>
      <c r="F156" s="252"/>
      <c r="G156" s="252" t="s">
        <v>4440</v>
      </c>
      <c r="H156" s="252"/>
      <c r="I156" s="14" t="s">
        <v>4441</v>
      </c>
      <c r="J156" s="14"/>
      <c r="K156" s="7"/>
      <c r="L156" s="7"/>
      <c r="M156" s="7"/>
      <c r="N156" s="98" t="e">
        <f>SUM(52.5*#REF!)/175</f>
        <v>#REF!</v>
      </c>
    </row>
    <row r="157" spans="2:14" x14ac:dyDescent="0.25">
      <c r="B157" s="13"/>
      <c r="C157" s="196"/>
      <c r="D157" s="196"/>
      <c r="E157" s="252"/>
      <c r="F157" s="252"/>
      <c r="G157" s="252"/>
      <c r="H157" s="252"/>
      <c r="I157" s="14" t="s">
        <v>4442</v>
      </c>
      <c r="J157" s="14"/>
      <c r="K157" s="7"/>
      <c r="L157" s="7"/>
      <c r="M157" s="7"/>
      <c r="N157" s="98"/>
    </row>
    <row r="158" spans="2:14" x14ac:dyDescent="0.25">
      <c r="B158" s="14" t="s">
        <v>548</v>
      </c>
      <c r="C158" s="253" t="s">
        <v>1197</v>
      </c>
      <c r="D158" s="253"/>
      <c r="E158" s="253" t="s">
        <v>742</v>
      </c>
      <c r="F158" s="253"/>
      <c r="G158" s="253" t="s">
        <v>4443</v>
      </c>
      <c r="H158" s="253"/>
      <c r="I158" s="14" t="s">
        <v>4444</v>
      </c>
      <c r="J158" s="14"/>
      <c r="K158" s="7"/>
      <c r="L158" s="7"/>
      <c r="M158" s="7"/>
      <c r="N158" s="102" t="e">
        <f>SUM(14*#REF!)/175</f>
        <v>#REF!</v>
      </c>
    </row>
    <row r="159" spans="2:14" x14ac:dyDescent="0.25">
      <c r="B159" s="14"/>
      <c r="C159" s="189"/>
      <c r="D159" s="189"/>
      <c r="E159" s="189"/>
      <c r="F159" s="189"/>
      <c r="G159" s="197"/>
      <c r="H159" s="197"/>
      <c r="I159" s="14" t="s">
        <v>4445</v>
      </c>
      <c r="J159" s="14"/>
      <c r="K159" s="7"/>
      <c r="L159" s="7"/>
      <c r="M159" s="7"/>
      <c r="N159" s="98"/>
    </row>
    <row r="160" spans="2:14" x14ac:dyDescent="0.25">
      <c r="B160" s="141" t="s">
        <v>1496</v>
      </c>
      <c r="C160" s="254" t="s">
        <v>1748</v>
      </c>
      <c r="D160" s="254"/>
      <c r="E160" s="254" t="s">
        <v>374</v>
      </c>
      <c r="F160" s="254"/>
      <c r="G160" s="254" t="s">
        <v>382</v>
      </c>
      <c r="H160" s="254"/>
      <c r="I160" s="14" t="s">
        <v>4446</v>
      </c>
      <c r="J160" s="14"/>
      <c r="K160" s="7"/>
      <c r="L160" s="7"/>
      <c r="M160" s="7"/>
      <c r="N160" s="98" t="e">
        <f>SUM(1.15625*#REF!)/175</f>
        <v>#REF!</v>
      </c>
    </row>
    <row r="161" spans="2:14" x14ac:dyDescent="0.25">
      <c r="B161" s="141"/>
      <c r="C161" s="190"/>
      <c r="D161" s="190"/>
      <c r="E161" s="190"/>
      <c r="F161" s="190"/>
      <c r="G161" s="204"/>
      <c r="H161" s="204"/>
      <c r="I161" s="14" t="s">
        <v>4447</v>
      </c>
      <c r="K161" s="7"/>
      <c r="L161" s="7"/>
      <c r="M161" s="7"/>
      <c r="N161" s="98"/>
    </row>
    <row r="162" spans="2:14" x14ac:dyDescent="0.25">
      <c r="B162" s="14" t="s">
        <v>1046</v>
      </c>
      <c r="C162" s="253" t="s">
        <v>3910</v>
      </c>
      <c r="D162" s="253"/>
      <c r="E162" s="253" t="s">
        <v>880</v>
      </c>
      <c r="F162" s="253"/>
      <c r="G162" s="253" t="s">
        <v>890</v>
      </c>
      <c r="H162" s="253"/>
      <c r="I162" s="14" t="s">
        <v>4448</v>
      </c>
      <c r="J162" s="14"/>
      <c r="K162" s="7"/>
      <c r="L162" s="7"/>
      <c r="M162" s="7"/>
      <c r="N162" s="105" t="e">
        <f>SUM(3.5*#REF!)/175</f>
        <v>#REF!</v>
      </c>
    </row>
    <row r="163" spans="2:14" x14ac:dyDescent="0.25">
      <c r="B163" s="14"/>
      <c r="C163" s="189"/>
      <c r="D163" s="189"/>
      <c r="E163" s="189"/>
      <c r="F163" s="189"/>
      <c r="G163" s="197"/>
      <c r="H163" s="197"/>
      <c r="I163" s="14" t="s">
        <v>4449</v>
      </c>
      <c r="J163" s="14"/>
      <c r="K163" s="7"/>
      <c r="L163" s="7"/>
      <c r="M163" s="7"/>
      <c r="N163" s="98"/>
    </row>
    <row r="164" spans="2:14" x14ac:dyDescent="0.25">
      <c r="B164" s="14"/>
      <c r="C164" s="189"/>
      <c r="D164" s="189"/>
      <c r="E164" s="189"/>
      <c r="F164" s="189"/>
      <c r="G164" s="197"/>
      <c r="H164" s="197"/>
      <c r="I164" s="15" t="s">
        <v>2576</v>
      </c>
      <c r="J164" s="14"/>
      <c r="K164" s="7"/>
      <c r="L164" s="7"/>
      <c r="M164" s="7"/>
      <c r="N164" s="100" t="e">
        <f>SUM(N156:N162)</f>
        <v>#REF!</v>
      </c>
    </row>
    <row r="165" spans="2:14" x14ac:dyDescent="0.25">
      <c r="B165" s="14"/>
      <c r="C165" s="189"/>
      <c r="D165" s="189"/>
      <c r="E165" s="189"/>
      <c r="F165" s="189"/>
      <c r="G165" s="197"/>
      <c r="H165" s="197"/>
      <c r="I165" s="14" t="s">
        <v>4450</v>
      </c>
      <c r="K165" s="7"/>
      <c r="L165" s="7"/>
      <c r="M165" s="7"/>
      <c r="N165" s="98"/>
    </row>
    <row r="166" spans="2:14" x14ac:dyDescent="0.25">
      <c r="B166" s="14"/>
      <c r="C166" s="189"/>
      <c r="D166" s="189"/>
      <c r="E166" s="189"/>
      <c r="F166" s="189"/>
      <c r="G166" s="197"/>
      <c r="H166" s="197"/>
      <c r="I166" s="14" t="s">
        <v>4451</v>
      </c>
      <c r="K166" s="7"/>
      <c r="L166" s="7"/>
      <c r="M166" s="7"/>
      <c r="N166" s="98"/>
    </row>
    <row r="167" spans="2:14" x14ac:dyDescent="0.25">
      <c r="B167" s="14"/>
      <c r="C167" s="189"/>
      <c r="D167" s="189"/>
      <c r="E167" s="189"/>
      <c r="F167" s="189"/>
      <c r="G167" s="197"/>
      <c r="H167" s="197"/>
      <c r="I167" s="14" t="s">
        <v>4452</v>
      </c>
      <c r="K167" s="7"/>
      <c r="L167" s="7"/>
      <c r="M167" s="7"/>
    </row>
    <row r="168" spans="2:14" x14ac:dyDescent="0.25">
      <c r="B168" s="14"/>
      <c r="C168" s="189"/>
      <c r="D168" s="189"/>
      <c r="E168" s="189"/>
      <c r="F168" s="189"/>
      <c r="G168" s="197"/>
      <c r="H168" s="197"/>
      <c r="I168" s="14" t="s">
        <v>4453</v>
      </c>
      <c r="K168" s="7"/>
      <c r="L168" s="7"/>
      <c r="M168" s="7"/>
    </row>
    <row r="169" spans="2:14" x14ac:dyDescent="0.25">
      <c r="B169" s="14"/>
      <c r="C169" s="189"/>
      <c r="D169" s="189"/>
      <c r="E169" s="189"/>
      <c r="F169" s="189"/>
      <c r="G169" s="197"/>
      <c r="H169" s="197"/>
      <c r="I169" s="14" t="s">
        <v>4454</v>
      </c>
      <c r="K169" s="7"/>
      <c r="L169" s="7"/>
      <c r="M169" s="7"/>
    </row>
    <row r="170" spans="2:14" x14ac:dyDescent="0.25">
      <c r="B170" s="14"/>
      <c r="C170" s="197"/>
      <c r="D170" s="197"/>
      <c r="E170" s="253"/>
      <c r="F170" s="253"/>
      <c r="G170" s="253"/>
      <c r="H170" s="253"/>
      <c r="I170" s="95" t="s">
        <v>4455</v>
      </c>
      <c r="J170" s="7"/>
      <c r="K170" s="7"/>
      <c r="L170" s="7"/>
      <c r="M170" s="7"/>
    </row>
    <row r="171" spans="2:14" x14ac:dyDescent="0.25">
      <c r="B171" s="217" t="s">
        <v>401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9"/>
    </row>
    <row r="172" spans="2:14" x14ac:dyDescent="0.25">
      <c r="B172" s="3" t="s">
        <v>402</v>
      </c>
      <c r="C172" s="232" t="s">
        <v>403</v>
      </c>
      <c r="D172" s="232"/>
      <c r="E172" s="232" t="s">
        <v>467</v>
      </c>
      <c r="F172" s="232"/>
      <c r="G172" s="232" t="s">
        <v>405</v>
      </c>
      <c r="H172" s="232"/>
      <c r="I172" s="232" t="s">
        <v>1766</v>
      </c>
      <c r="J172" s="232"/>
      <c r="K172" s="234" t="s">
        <v>468</v>
      </c>
      <c r="L172" s="235"/>
      <c r="M172" s="236"/>
    </row>
    <row r="173" spans="2:14" ht="15.75" thickBot="1" x14ac:dyDescent="0.3">
      <c r="B173" s="4"/>
      <c r="C173" s="237"/>
      <c r="D173" s="238"/>
      <c r="E173" s="239"/>
      <c r="F173" s="238"/>
      <c r="G173" s="240"/>
      <c r="H173" s="240"/>
      <c r="I173" s="240">
        <v>0.5</v>
      </c>
      <c r="J173" s="240"/>
      <c r="K173" s="242"/>
      <c r="L173" s="243"/>
      <c r="M173" s="244"/>
    </row>
    <row r="174" spans="2:14" x14ac:dyDescent="0.25">
      <c r="B174" s="1"/>
      <c r="C174" s="1"/>
      <c r="D174" s="1"/>
      <c r="E174" s="1"/>
      <c r="F174" s="1"/>
      <c r="G174" s="1"/>
      <c r="H174" s="1"/>
    </row>
    <row r="175" spans="2:14" x14ac:dyDescent="0.25">
      <c r="B175" s="217" t="s">
        <v>408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9"/>
    </row>
    <row r="176" spans="2:14" x14ac:dyDescent="0.25">
      <c r="B176" s="122" t="s">
        <v>3242</v>
      </c>
      <c r="C176" s="220" t="s">
        <v>4456</v>
      </c>
      <c r="D176" s="220"/>
      <c r="E176" s="221" t="s">
        <v>4457</v>
      </c>
      <c r="F176" s="221"/>
      <c r="G176" s="221" t="s">
        <v>692</v>
      </c>
      <c r="H176" s="221"/>
      <c r="I176" s="220" t="s">
        <v>4458</v>
      </c>
      <c r="J176" s="220"/>
      <c r="K176" s="220" t="s">
        <v>4459</v>
      </c>
      <c r="L176" s="220"/>
      <c r="M176" s="222"/>
    </row>
    <row r="177" spans="2:13" x14ac:dyDescent="0.25">
      <c r="B177" s="123" t="s">
        <v>767</v>
      </c>
      <c r="C177" s="225" t="s">
        <v>916</v>
      </c>
      <c r="D177" s="226"/>
      <c r="E177" s="223" t="s">
        <v>567</v>
      </c>
      <c r="F177" s="223"/>
      <c r="G177" s="223" t="s">
        <v>3061</v>
      </c>
      <c r="H177" s="223"/>
      <c r="I177" s="227" t="s">
        <v>1612</v>
      </c>
      <c r="J177" s="227"/>
      <c r="K177" s="223" t="s">
        <v>4460</v>
      </c>
      <c r="L177" s="223"/>
      <c r="M177" s="224"/>
    </row>
    <row r="178" spans="2:13" x14ac:dyDescent="0.25">
      <c r="B178" s="123" t="s">
        <v>1419</v>
      </c>
      <c r="C178" s="225" t="s">
        <v>422</v>
      </c>
      <c r="D178" s="226"/>
      <c r="E178" s="227" t="s">
        <v>4461</v>
      </c>
      <c r="F178" s="227"/>
      <c r="G178" s="223" t="s">
        <v>2606</v>
      </c>
      <c r="H178" s="223"/>
      <c r="I178" s="223" t="s">
        <v>4462</v>
      </c>
      <c r="J178" s="223"/>
      <c r="K178" s="223" t="s">
        <v>575</v>
      </c>
      <c r="L178" s="223"/>
      <c r="M178" s="224"/>
    </row>
    <row r="180" spans="2:13" ht="23.25" x14ac:dyDescent="0.35">
      <c r="B180" s="29" t="s">
        <v>334</v>
      </c>
      <c r="C180" s="229" t="s">
        <v>48</v>
      </c>
      <c r="D180" s="229"/>
      <c r="E180" s="229"/>
      <c r="F180" s="229"/>
      <c r="G180" s="229"/>
      <c r="H180" s="229"/>
      <c r="I180" s="229"/>
      <c r="J180" s="229"/>
    </row>
    <row r="181" spans="2:13" ht="18.75" x14ac:dyDescent="0.3">
      <c r="B181" s="12" t="s">
        <v>335</v>
      </c>
      <c r="C181" s="195" t="s">
        <v>4284</v>
      </c>
      <c r="D181" s="228" t="s">
        <v>427</v>
      </c>
      <c r="E181" s="228"/>
      <c r="F181" s="1" t="s">
        <v>2096</v>
      </c>
      <c r="L181" s="12" t="s">
        <v>339</v>
      </c>
      <c r="M181" s="6" t="s">
        <v>4463</v>
      </c>
    </row>
    <row r="183" spans="2:13" x14ac:dyDescent="0.25">
      <c r="B183" s="2" t="s">
        <v>341</v>
      </c>
      <c r="C183" s="250" t="s">
        <v>805</v>
      </c>
      <c r="D183" s="250"/>
      <c r="E183" s="250" t="s">
        <v>342</v>
      </c>
      <c r="F183" s="250"/>
      <c r="G183" s="250" t="s">
        <v>954</v>
      </c>
      <c r="H183" s="250"/>
      <c r="I183" s="228" t="s">
        <v>345</v>
      </c>
      <c r="J183" s="228"/>
      <c r="K183" s="228"/>
      <c r="L183" s="228"/>
      <c r="M183" s="228"/>
    </row>
    <row r="184" spans="2:13" x14ac:dyDescent="0.25">
      <c r="C184" s="251"/>
      <c r="D184" s="251"/>
      <c r="E184" s="251"/>
      <c r="F184" s="251"/>
      <c r="G184" s="251"/>
      <c r="H184" s="251"/>
      <c r="I184" s="7"/>
      <c r="J184" s="7"/>
      <c r="K184" s="7"/>
      <c r="L184" s="7"/>
      <c r="M184" s="7"/>
    </row>
    <row r="185" spans="2:13" x14ac:dyDescent="0.25">
      <c r="B185" s="11" t="s">
        <v>4464</v>
      </c>
      <c r="C185" s="323" t="s">
        <v>1042</v>
      </c>
      <c r="D185" s="323" t="s">
        <v>744</v>
      </c>
      <c r="E185" s="252" t="s">
        <v>2315</v>
      </c>
      <c r="F185" s="252" t="s">
        <v>508</v>
      </c>
      <c r="G185" s="252" t="s">
        <v>4465</v>
      </c>
      <c r="H185" s="252" t="s">
        <v>508</v>
      </c>
      <c r="I185" s="14" t="s">
        <v>4466</v>
      </c>
      <c r="J185" s="7"/>
      <c r="K185" s="7"/>
      <c r="L185" s="7"/>
      <c r="M185" s="7"/>
    </row>
    <row r="186" spans="2:13" x14ac:dyDescent="0.25">
      <c r="B186" s="11"/>
      <c r="C186" s="205"/>
      <c r="D186" s="205"/>
      <c r="E186" s="252"/>
      <c r="F186" s="252"/>
      <c r="G186" s="252"/>
      <c r="H186" s="252"/>
      <c r="I186" s="14" t="s">
        <v>4467</v>
      </c>
      <c r="J186" s="7"/>
      <c r="K186" s="7"/>
      <c r="L186" s="7"/>
      <c r="M186" s="7"/>
    </row>
    <row r="187" spans="2:13" x14ac:dyDescent="0.25">
      <c r="B187" s="1" t="s">
        <v>4468</v>
      </c>
      <c r="C187" s="290" t="s">
        <v>4469</v>
      </c>
      <c r="D187" s="290" t="s">
        <v>390</v>
      </c>
      <c r="E187" s="253" t="s">
        <v>4470</v>
      </c>
      <c r="F187" s="253" t="s">
        <v>392</v>
      </c>
      <c r="G187" s="253" t="s">
        <v>4471</v>
      </c>
      <c r="H187" s="253" t="s">
        <v>392</v>
      </c>
      <c r="I187" s="14" t="s">
        <v>4472</v>
      </c>
      <c r="J187" s="7"/>
      <c r="K187" s="7"/>
      <c r="L187" s="7"/>
      <c r="M187" s="7"/>
    </row>
    <row r="188" spans="2:13" x14ac:dyDescent="0.25">
      <c r="B188" s="1"/>
      <c r="C188" s="189"/>
      <c r="D188" s="189"/>
      <c r="E188" s="253"/>
      <c r="F188" s="253"/>
      <c r="G188" s="253"/>
      <c r="H188" s="253"/>
      <c r="I188" s="14" t="s">
        <v>4473</v>
      </c>
      <c r="J188" s="7"/>
      <c r="K188" s="7"/>
      <c r="L188" s="7"/>
      <c r="M188" s="7"/>
    </row>
    <row r="189" spans="2:13" x14ac:dyDescent="0.25">
      <c r="B189" s="11" t="s">
        <v>4474</v>
      </c>
      <c r="C189" s="323" t="s">
        <v>4475</v>
      </c>
      <c r="D189" s="323" t="s">
        <v>744</v>
      </c>
      <c r="E189" s="252" t="s">
        <v>4476</v>
      </c>
      <c r="F189" s="252" t="s">
        <v>508</v>
      </c>
      <c r="G189" s="252" t="s">
        <v>4477</v>
      </c>
      <c r="H189" s="252" t="s">
        <v>508</v>
      </c>
      <c r="I189" s="14" t="s">
        <v>4478</v>
      </c>
      <c r="J189" s="7"/>
      <c r="K189" s="7"/>
      <c r="L189" s="7"/>
      <c r="M189" s="7"/>
    </row>
    <row r="190" spans="2:13" x14ac:dyDescent="0.25">
      <c r="B190" s="11"/>
      <c r="C190" s="188"/>
      <c r="D190" s="188"/>
      <c r="E190" s="252"/>
      <c r="F190" s="252"/>
      <c r="G190" s="252"/>
      <c r="H190" s="252"/>
      <c r="I190" s="14" t="s">
        <v>4479</v>
      </c>
      <c r="J190" s="7"/>
      <c r="K190" s="7"/>
      <c r="L190" s="7"/>
      <c r="M190" s="7"/>
    </row>
    <row r="191" spans="2:13" x14ac:dyDescent="0.25">
      <c r="B191" s="1" t="s">
        <v>4480</v>
      </c>
      <c r="C191" s="290" t="s">
        <v>4475</v>
      </c>
      <c r="D191" s="290" t="s">
        <v>4356</v>
      </c>
      <c r="E191" s="253" t="s">
        <v>4476</v>
      </c>
      <c r="F191" s="253" t="s">
        <v>854</v>
      </c>
      <c r="G191" s="253" t="s">
        <v>4477</v>
      </c>
      <c r="H191" s="253" t="s">
        <v>854</v>
      </c>
      <c r="I191" s="14" t="s">
        <v>4481</v>
      </c>
      <c r="J191" s="7"/>
      <c r="K191" s="7"/>
      <c r="L191" s="7"/>
      <c r="M191" s="7"/>
    </row>
    <row r="192" spans="2:13" x14ac:dyDescent="0.25">
      <c r="B192" s="1"/>
      <c r="C192" s="189"/>
      <c r="D192" s="189"/>
      <c r="E192" s="253"/>
      <c r="F192" s="253"/>
      <c r="G192" s="253"/>
      <c r="H192" s="253"/>
      <c r="I192" s="14" t="s">
        <v>4482</v>
      </c>
      <c r="J192" s="7"/>
      <c r="K192" s="7"/>
    </row>
    <row r="193" spans="2:11" x14ac:dyDescent="0.25">
      <c r="B193" s="11" t="s">
        <v>1207</v>
      </c>
      <c r="C193" s="323" t="s">
        <v>3323</v>
      </c>
      <c r="D193" s="323" t="s">
        <v>4362</v>
      </c>
      <c r="E193" s="252" t="s">
        <v>3792</v>
      </c>
      <c r="F193" s="252" t="s">
        <v>1759</v>
      </c>
      <c r="G193" s="252" t="s">
        <v>1915</v>
      </c>
      <c r="H193" s="252" t="s">
        <v>1759</v>
      </c>
      <c r="I193" s="7"/>
      <c r="J193" s="7"/>
      <c r="K193" s="7"/>
    </row>
    <row r="194" spans="2:11" x14ac:dyDescent="0.25">
      <c r="B194" s="11"/>
      <c r="C194" s="205"/>
      <c r="D194" s="205"/>
      <c r="E194" s="252"/>
      <c r="F194" s="252"/>
      <c r="G194" s="252"/>
      <c r="H194" s="252"/>
      <c r="I194" s="7"/>
      <c r="J194" s="7"/>
      <c r="K194" s="7"/>
    </row>
    <row r="195" spans="2:11" x14ac:dyDescent="0.25">
      <c r="B195" s="1" t="s">
        <v>677</v>
      </c>
      <c r="C195" s="290" t="s">
        <v>374</v>
      </c>
      <c r="D195" s="290" t="s">
        <v>3212</v>
      </c>
      <c r="E195" s="253" t="s">
        <v>398</v>
      </c>
      <c r="F195" s="253" t="s">
        <v>4368</v>
      </c>
      <c r="G195" s="253" t="s">
        <v>1497</v>
      </c>
      <c r="H195" s="253" t="s">
        <v>4368</v>
      </c>
      <c r="I195" s="7"/>
      <c r="J195" s="7"/>
      <c r="K195" s="7"/>
    </row>
    <row r="196" spans="2:11" x14ac:dyDescent="0.25">
      <c r="B196" s="1"/>
      <c r="C196" s="199"/>
      <c r="D196" s="199"/>
      <c r="E196" s="253"/>
      <c r="F196" s="253"/>
      <c r="G196" s="253"/>
      <c r="H196" s="253"/>
      <c r="I196" s="7"/>
      <c r="J196" s="7"/>
      <c r="K196" s="7"/>
    </row>
    <row r="197" spans="2:11" x14ac:dyDescent="0.25">
      <c r="B197" s="11" t="s">
        <v>4483</v>
      </c>
      <c r="C197" s="323" t="s">
        <v>391</v>
      </c>
      <c r="D197" s="323" t="s">
        <v>657</v>
      </c>
      <c r="E197" s="252" t="s">
        <v>4484</v>
      </c>
      <c r="F197" s="252" t="s">
        <v>486</v>
      </c>
      <c r="G197" s="252" t="s">
        <v>789</v>
      </c>
      <c r="H197" s="252" t="s">
        <v>486</v>
      </c>
      <c r="I197" s="7"/>
      <c r="J197" s="7"/>
      <c r="K197" s="7"/>
    </row>
    <row r="198" spans="2:11" x14ac:dyDescent="0.25">
      <c r="B198" s="11"/>
      <c r="C198" s="205"/>
      <c r="D198" s="205"/>
      <c r="E198" s="252"/>
      <c r="F198" s="252"/>
      <c r="G198" s="252"/>
      <c r="H198" s="252"/>
    </row>
    <row r="199" spans="2:11" x14ac:dyDescent="0.25">
      <c r="B199" s="1" t="s">
        <v>1046</v>
      </c>
      <c r="C199" s="290" t="s">
        <v>744</v>
      </c>
      <c r="D199" s="290" t="s">
        <v>495</v>
      </c>
      <c r="E199" s="253" t="s">
        <v>882</v>
      </c>
      <c r="F199" s="253" t="s">
        <v>2708</v>
      </c>
      <c r="G199" s="253" t="s">
        <v>1026</v>
      </c>
      <c r="H199" s="253" t="s">
        <v>2708</v>
      </c>
    </row>
    <row r="200" spans="2:11" x14ac:dyDescent="0.25">
      <c r="B200" s="1"/>
      <c r="C200" s="199"/>
      <c r="D200" s="199"/>
      <c r="E200" s="253"/>
      <c r="F200" s="253"/>
      <c r="G200" s="253"/>
      <c r="H200" s="253"/>
    </row>
    <row r="201" spans="2:11" x14ac:dyDescent="0.25">
      <c r="B201" s="11" t="s">
        <v>859</v>
      </c>
      <c r="C201" s="323" t="s">
        <v>2389</v>
      </c>
      <c r="D201" s="323" t="s">
        <v>4372</v>
      </c>
      <c r="E201" s="252" t="s">
        <v>2125</v>
      </c>
      <c r="F201" s="252" t="s">
        <v>495</v>
      </c>
      <c r="G201" s="252" t="s">
        <v>3496</v>
      </c>
      <c r="H201" s="252" t="s">
        <v>495</v>
      </c>
    </row>
    <row r="202" spans="2:11" x14ac:dyDescent="0.25">
      <c r="B202" s="11"/>
      <c r="C202" s="205"/>
      <c r="D202" s="205"/>
      <c r="E202" s="252"/>
      <c r="F202" s="252"/>
      <c r="G202" s="252"/>
      <c r="H202" s="252"/>
    </row>
    <row r="203" spans="2:11" x14ac:dyDescent="0.25">
      <c r="B203" s="1" t="s">
        <v>660</v>
      </c>
      <c r="C203" s="290" t="s">
        <v>4485</v>
      </c>
      <c r="D203" s="290" t="s">
        <v>508</v>
      </c>
      <c r="E203" s="253" t="s">
        <v>391</v>
      </c>
      <c r="F203" s="253" t="s">
        <v>390</v>
      </c>
      <c r="G203" s="253" t="s">
        <v>392</v>
      </c>
      <c r="H203" s="253" t="s">
        <v>390</v>
      </c>
    </row>
    <row r="204" spans="2:11" x14ac:dyDescent="0.25">
      <c r="B204" s="1"/>
      <c r="C204" s="189"/>
      <c r="D204" s="189"/>
      <c r="E204" s="253"/>
      <c r="F204" s="253"/>
      <c r="G204" s="253"/>
      <c r="H204" s="253"/>
    </row>
    <row r="205" spans="2:11" x14ac:dyDescent="0.25">
      <c r="B205" s="11" t="s">
        <v>1051</v>
      </c>
      <c r="C205" s="252" t="s">
        <v>1127</v>
      </c>
      <c r="D205" s="252" t="s">
        <v>1036</v>
      </c>
      <c r="E205" s="252" t="s">
        <v>880</v>
      </c>
      <c r="F205" s="252" t="s">
        <v>1274</v>
      </c>
      <c r="G205" s="252" t="s">
        <v>744</v>
      </c>
      <c r="H205" s="252" t="s">
        <v>1274</v>
      </c>
    </row>
    <row r="206" spans="2:11" x14ac:dyDescent="0.25">
      <c r="B206" s="11"/>
      <c r="C206" s="188"/>
      <c r="D206" s="188"/>
      <c r="E206" s="188"/>
      <c r="F206" s="188"/>
      <c r="G206" s="188"/>
      <c r="H206" s="188"/>
    </row>
    <row r="207" spans="2:11" x14ac:dyDescent="0.25">
      <c r="B207" s="1" t="s">
        <v>518</v>
      </c>
      <c r="C207" s="255" t="s">
        <v>3910</v>
      </c>
      <c r="D207" s="255"/>
      <c r="E207" s="255" t="s">
        <v>744</v>
      </c>
      <c r="F207" s="255"/>
      <c r="G207" s="255" t="s">
        <v>1630</v>
      </c>
      <c r="H207" s="255"/>
    </row>
    <row r="208" spans="2:11" x14ac:dyDescent="0.25">
      <c r="B208" s="32"/>
      <c r="C208" s="191"/>
      <c r="D208" s="191"/>
      <c r="E208" s="191"/>
      <c r="F208" s="191"/>
      <c r="G208" s="191"/>
      <c r="H208" s="191"/>
    </row>
    <row r="209" spans="2:16" x14ac:dyDescent="0.25">
      <c r="B209" s="11" t="s">
        <v>1305</v>
      </c>
      <c r="C209" s="252" t="s">
        <v>4469</v>
      </c>
      <c r="D209" s="252"/>
      <c r="E209" s="252" t="s">
        <v>4470</v>
      </c>
      <c r="F209" s="252"/>
      <c r="G209" s="252" t="s">
        <v>4471</v>
      </c>
      <c r="H209" s="252"/>
    </row>
    <row r="210" spans="2:16" ht="15.75" thickBot="1" x14ac:dyDescent="0.3">
      <c r="B210" s="11"/>
      <c r="C210" s="23"/>
      <c r="D210" s="196"/>
      <c r="E210" s="188"/>
      <c r="F210" s="188"/>
      <c r="G210" s="188"/>
      <c r="H210" s="188"/>
    </row>
    <row r="211" spans="2:16" x14ac:dyDescent="0.25">
      <c r="B211" s="217" t="s">
        <v>401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9"/>
    </row>
    <row r="212" spans="2:16" x14ac:dyDescent="0.25">
      <c r="B212" s="3" t="s">
        <v>402</v>
      </c>
      <c r="C212" s="232" t="s">
        <v>403</v>
      </c>
      <c r="D212" s="232"/>
      <c r="E212" s="233" t="s">
        <v>404</v>
      </c>
      <c r="F212" s="233"/>
      <c r="G212" s="232" t="s">
        <v>859</v>
      </c>
      <c r="H212" s="232"/>
      <c r="I212" s="232" t="s">
        <v>406</v>
      </c>
      <c r="J212" s="232"/>
      <c r="K212" s="234" t="s">
        <v>407</v>
      </c>
      <c r="L212" s="235"/>
      <c r="M212" s="236"/>
    </row>
    <row r="213" spans="2:16" ht="15.75" thickBot="1" x14ac:dyDescent="0.3">
      <c r="B213" s="5"/>
      <c r="C213" s="237"/>
      <c r="D213" s="238"/>
      <c r="E213" s="239">
        <v>0.83</v>
      </c>
      <c r="F213" s="238"/>
      <c r="G213" s="240">
        <v>0.36</v>
      </c>
      <c r="H213" s="240"/>
      <c r="I213" s="241"/>
      <c r="J213" s="241"/>
      <c r="K213" s="242">
        <v>7.3599999999999999E-2</v>
      </c>
      <c r="L213" s="243"/>
      <c r="M213" s="244"/>
    </row>
    <row r="214" spans="2:16" x14ac:dyDescent="0.25">
      <c r="B214" s="1"/>
      <c r="C214" s="1"/>
      <c r="D214" s="1"/>
      <c r="E214" s="1"/>
      <c r="F214" s="1"/>
      <c r="G214" s="1"/>
      <c r="H214" s="1"/>
    </row>
    <row r="215" spans="2:16" x14ac:dyDescent="0.25">
      <c r="B215" s="217" t="s">
        <v>408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9"/>
    </row>
    <row r="216" spans="2:16" x14ac:dyDescent="0.25">
      <c r="B216" s="122" t="s">
        <v>4486</v>
      </c>
      <c r="C216" s="220" t="s">
        <v>4487</v>
      </c>
      <c r="D216" s="220"/>
      <c r="E216" s="221" t="s">
        <v>4488</v>
      </c>
      <c r="F216" s="221"/>
      <c r="G216" s="221" t="s">
        <v>4489</v>
      </c>
      <c r="H216" s="221"/>
      <c r="I216" s="220" t="s">
        <v>4490</v>
      </c>
      <c r="J216" s="220"/>
      <c r="K216" s="220" t="s">
        <v>2997</v>
      </c>
      <c r="L216" s="220"/>
      <c r="M216" s="222"/>
    </row>
    <row r="217" spans="2:16" x14ac:dyDescent="0.25">
      <c r="B217" s="123" t="s">
        <v>3918</v>
      </c>
      <c r="C217" s="225" t="s">
        <v>4491</v>
      </c>
      <c r="D217" s="226"/>
      <c r="E217" s="223" t="s">
        <v>4492</v>
      </c>
      <c r="F217" s="223"/>
      <c r="G217" s="223" t="s">
        <v>4493</v>
      </c>
      <c r="H217" s="223"/>
      <c r="I217" s="227" t="s">
        <v>2048</v>
      </c>
      <c r="J217" s="227"/>
      <c r="K217" s="223" t="s">
        <v>4494</v>
      </c>
      <c r="L217" s="223"/>
      <c r="M217" s="224"/>
    </row>
    <row r="218" spans="2:16" x14ac:dyDescent="0.25">
      <c r="B218" s="123" t="s">
        <v>4495</v>
      </c>
      <c r="C218" s="225" t="s">
        <v>422</v>
      </c>
      <c r="D218" s="226"/>
      <c r="E218" s="227" t="s">
        <v>4496</v>
      </c>
      <c r="F218" s="227"/>
      <c r="G218" s="223" t="s">
        <v>4497</v>
      </c>
      <c r="H218" s="223"/>
      <c r="I218" s="223" t="s">
        <v>4498</v>
      </c>
      <c r="J218" s="223"/>
      <c r="K218" s="223" t="s">
        <v>575</v>
      </c>
      <c r="L218" s="223"/>
      <c r="M218" s="224"/>
    </row>
    <row r="220" spans="2:16" ht="23.25" x14ac:dyDescent="0.35">
      <c r="B220" s="29" t="s">
        <v>334</v>
      </c>
      <c r="C220" s="229" t="s">
        <v>53</v>
      </c>
      <c r="D220" s="229"/>
      <c r="E220" s="229"/>
      <c r="F220" s="229"/>
      <c r="G220" s="229"/>
      <c r="H220" s="229"/>
      <c r="I220" s="229"/>
      <c r="J220" s="229"/>
      <c r="K220" s="229"/>
    </row>
    <row r="221" spans="2:16" ht="18.75" x14ac:dyDescent="0.3">
      <c r="B221" s="12" t="s">
        <v>335</v>
      </c>
      <c r="C221" s="195" t="s">
        <v>4284</v>
      </c>
      <c r="D221" s="228" t="s">
        <v>427</v>
      </c>
      <c r="E221" s="228"/>
      <c r="F221" s="1" t="s">
        <v>3173</v>
      </c>
      <c r="L221" s="12" t="s">
        <v>339</v>
      </c>
      <c r="M221" s="6" t="s">
        <v>4499</v>
      </c>
    </row>
    <row r="223" spans="2:16" x14ac:dyDescent="0.25">
      <c r="B223" s="2" t="s">
        <v>341</v>
      </c>
      <c r="C223" s="250" t="s">
        <v>342</v>
      </c>
      <c r="D223" s="250"/>
      <c r="E223" s="250" t="s">
        <v>343</v>
      </c>
      <c r="F223" s="250"/>
      <c r="G223" s="250" t="s">
        <v>954</v>
      </c>
      <c r="H223" s="250"/>
      <c r="I223" s="228" t="s">
        <v>345</v>
      </c>
      <c r="J223" s="228"/>
      <c r="K223" s="228"/>
      <c r="L223" s="228"/>
      <c r="M223" s="228"/>
    </row>
    <row r="224" spans="2:16" x14ac:dyDescent="0.25">
      <c r="C224" s="251"/>
      <c r="D224" s="251"/>
      <c r="E224" s="251"/>
      <c r="F224" s="251"/>
      <c r="G224" s="251"/>
      <c r="H224" s="251"/>
      <c r="L224" s="7"/>
      <c r="M224" s="7"/>
      <c r="N224" s="7"/>
      <c r="O224" s="7"/>
      <c r="P224" s="7"/>
    </row>
    <row r="225" spans="2:16" x14ac:dyDescent="0.25">
      <c r="B225" s="13" t="s">
        <v>4500</v>
      </c>
      <c r="C225" s="252" t="s">
        <v>4501</v>
      </c>
      <c r="D225" s="252"/>
      <c r="E225" s="252" t="s">
        <v>4502</v>
      </c>
      <c r="F225" s="252"/>
      <c r="G225" s="252" t="s">
        <v>4503</v>
      </c>
      <c r="H225" s="252"/>
      <c r="I225" s="14" t="s">
        <v>4504</v>
      </c>
      <c r="L225" s="14"/>
      <c r="M225" s="7"/>
      <c r="N225" s="7"/>
      <c r="O225" s="7"/>
      <c r="P225" s="7"/>
    </row>
    <row r="226" spans="2:16" x14ac:dyDescent="0.25">
      <c r="B226" s="13" t="s">
        <v>2644</v>
      </c>
      <c r="C226" s="188"/>
      <c r="D226" s="188"/>
      <c r="E226" s="188"/>
      <c r="F226" s="188"/>
      <c r="G226" s="188"/>
      <c r="H226" s="188"/>
      <c r="I226" s="14" t="s">
        <v>4505</v>
      </c>
      <c r="L226" s="14"/>
      <c r="M226" s="7"/>
      <c r="N226" s="7"/>
      <c r="O226" s="7"/>
      <c r="P226" s="7"/>
    </row>
    <row r="227" spans="2:16" x14ac:dyDescent="0.25">
      <c r="B227" s="14" t="s">
        <v>4506</v>
      </c>
      <c r="C227" s="253" t="s">
        <v>1949</v>
      </c>
      <c r="D227" s="253"/>
      <c r="E227" s="253" t="s">
        <v>4507</v>
      </c>
      <c r="F227" s="253"/>
      <c r="G227" s="253" t="s">
        <v>4508</v>
      </c>
      <c r="H227" s="253"/>
      <c r="L227" s="14"/>
      <c r="M227" s="7"/>
      <c r="N227" s="7"/>
      <c r="O227" s="7"/>
      <c r="P227" s="7"/>
    </row>
    <row r="228" spans="2:16" x14ac:dyDescent="0.25">
      <c r="B228" s="14" t="s">
        <v>2396</v>
      </c>
      <c r="C228" s="253"/>
      <c r="D228" s="253"/>
      <c r="E228" s="253"/>
      <c r="F228" s="253"/>
      <c r="G228" s="253"/>
      <c r="H228" s="253"/>
      <c r="L228" s="14"/>
      <c r="M228" s="7"/>
      <c r="N228" s="7"/>
      <c r="O228" s="7"/>
      <c r="P228" s="7"/>
    </row>
    <row r="229" spans="2:16" x14ac:dyDescent="0.25">
      <c r="B229" s="13" t="s">
        <v>4509</v>
      </c>
      <c r="C229" s="252" t="s">
        <v>368</v>
      </c>
      <c r="D229" s="252"/>
      <c r="E229" s="252" t="s">
        <v>4510</v>
      </c>
      <c r="F229" s="252"/>
      <c r="G229" s="252" t="s">
        <v>4511</v>
      </c>
      <c r="H229" s="252"/>
      <c r="L229" s="14"/>
      <c r="M229" s="7"/>
      <c r="N229" s="7"/>
      <c r="O229" s="7"/>
      <c r="P229" s="7"/>
    </row>
    <row r="230" spans="2:16" x14ac:dyDescent="0.25">
      <c r="B230" s="13"/>
      <c r="C230" s="188"/>
      <c r="D230" s="188"/>
      <c r="E230" s="188"/>
      <c r="F230" s="188"/>
      <c r="G230" s="188"/>
      <c r="H230" s="188"/>
      <c r="L230" s="14"/>
      <c r="M230" s="7"/>
      <c r="N230" s="7"/>
      <c r="O230" s="7"/>
      <c r="P230" s="7"/>
    </row>
    <row r="231" spans="2:16" x14ac:dyDescent="0.25">
      <c r="B231" s="14" t="s">
        <v>4512</v>
      </c>
      <c r="C231" s="253" t="s">
        <v>368</v>
      </c>
      <c r="D231" s="253"/>
      <c r="E231" s="253" t="s">
        <v>4510</v>
      </c>
      <c r="F231" s="253"/>
      <c r="G231" s="253" t="s">
        <v>4511</v>
      </c>
      <c r="H231" s="253"/>
      <c r="L231" s="14"/>
      <c r="M231" s="7"/>
      <c r="N231" s="7"/>
      <c r="O231" s="7"/>
      <c r="P231" s="7"/>
    </row>
    <row r="232" spans="2:16" x14ac:dyDescent="0.25">
      <c r="B232" s="14"/>
      <c r="C232" s="189"/>
      <c r="D232" s="189"/>
      <c r="E232" s="189"/>
      <c r="F232" s="189"/>
      <c r="G232" s="189"/>
      <c r="H232" s="189"/>
      <c r="I232" s="7"/>
      <c r="J232" s="7"/>
      <c r="K232" s="7"/>
    </row>
    <row r="233" spans="2:16" x14ac:dyDescent="0.25">
      <c r="B233" s="13" t="s">
        <v>4513</v>
      </c>
      <c r="C233" s="252" t="s">
        <v>2228</v>
      </c>
      <c r="D233" s="252"/>
      <c r="E233" s="252" t="s">
        <v>3002</v>
      </c>
      <c r="F233" s="252"/>
      <c r="G233" s="252" t="s">
        <v>3003</v>
      </c>
      <c r="H233" s="252"/>
      <c r="I233" s="7"/>
      <c r="J233" s="7"/>
      <c r="K233" s="7"/>
    </row>
    <row r="234" spans="2:16" x14ac:dyDescent="0.25">
      <c r="B234" s="13"/>
      <c r="C234" s="188"/>
      <c r="D234" s="188"/>
      <c r="E234" s="188"/>
      <c r="F234" s="188"/>
      <c r="G234" s="188"/>
      <c r="H234" s="188"/>
      <c r="I234" s="7"/>
      <c r="J234" s="7"/>
      <c r="K234" s="7"/>
    </row>
    <row r="235" spans="2:16" x14ac:dyDescent="0.25">
      <c r="B235" s="14" t="s">
        <v>4514</v>
      </c>
      <c r="C235" s="253" t="s">
        <v>4515</v>
      </c>
      <c r="D235" s="253"/>
      <c r="E235" s="253" t="s">
        <v>2577</v>
      </c>
      <c r="F235" s="253"/>
      <c r="G235" s="253" t="s">
        <v>4516</v>
      </c>
      <c r="H235" s="253"/>
      <c r="I235" s="7"/>
      <c r="J235" s="7"/>
      <c r="K235" s="7"/>
    </row>
    <row r="236" spans="2:16" x14ac:dyDescent="0.25">
      <c r="B236" s="14"/>
      <c r="C236" s="189"/>
      <c r="D236" s="189"/>
      <c r="E236" s="189"/>
      <c r="F236" s="189"/>
      <c r="G236" s="189"/>
      <c r="H236" s="189"/>
      <c r="I236" s="7"/>
      <c r="J236" s="7"/>
      <c r="K236" s="7"/>
    </row>
    <row r="237" spans="2:16" x14ac:dyDescent="0.25">
      <c r="B237" s="13" t="s">
        <v>4202</v>
      </c>
      <c r="C237" s="265" t="s">
        <v>4517</v>
      </c>
      <c r="D237" s="265"/>
      <c r="E237" s="265" t="s">
        <v>386</v>
      </c>
      <c r="F237" s="265"/>
      <c r="G237" s="265" t="s">
        <v>1445</v>
      </c>
      <c r="H237" s="265"/>
      <c r="I237" s="7"/>
      <c r="J237" s="7"/>
      <c r="K237" s="7"/>
    </row>
    <row r="238" spans="2:16" x14ac:dyDescent="0.25">
      <c r="B238" s="13"/>
      <c r="C238" s="188"/>
      <c r="D238" s="188"/>
      <c r="E238" s="188"/>
      <c r="F238" s="188"/>
      <c r="G238" s="188"/>
      <c r="H238" s="188"/>
    </row>
    <row r="239" spans="2:16" x14ac:dyDescent="0.25">
      <c r="B239" s="14" t="s">
        <v>4518</v>
      </c>
      <c r="C239" s="253" t="s">
        <v>791</v>
      </c>
      <c r="D239" s="253"/>
      <c r="E239" s="253" t="s">
        <v>1276</v>
      </c>
      <c r="F239" s="253"/>
      <c r="G239" s="253" t="s">
        <v>4519</v>
      </c>
      <c r="H239" s="253"/>
    </row>
    <row r="240" spans="2:16" x14ac:dyDescent="0.25">
      <c r="B240" s="14"/>
      <c r="C240" s="253"/>
      <c r="D240" s="253"/>
      <c r="E240" s="253"/>
      <c r="F240" s="253"/>
      <c r="G240" s="253"/>
      <c r="H240" s="253"/>
    </row>
    <row r="241" spans="2:13" x14ac:dyDescent="0.25">
      <c r="B241" s="13" t="s">
        <v>4520</v>
      </c>
      <c r="C241" s="252" t="s">
        <v>4521</v>
      </c>
      <c r="D241" s="252"/>
      <c r="E241" s="252" t="s">
        <v>1518</v>
      </c>
      <c r="F241" s="252"/>
      <c r="G241" s="252" t="s">
        <v>1846</v>
      </c>
      <c r="H241" s="252"/>
    </row>
    <row r="242" spans="2:13" x14ac:dyDescent="0.25">
      <c r="B242" s="13"/>
      <c r="C242" s="188"/>
      <c r="D242" s="188"/>
      <c r="E242" s="188"/>
      <c r="F242" s="188"/>
      <c r="G242" s="188"/>
      <c r="H242" s="188"/>
    </row>
    <row r="243" spans="2:13" x14ac:dyDescent="0.25">
      <c r="B243" s="14" t="s">
        <v>4400</v>
      </c>
      <c r="C243" s="253" t="s">
        <v>4522</v>
      </c>
      <c r="D243" s="253"/>
      <c r="E243" s="253" t="s">
        <v>3367</v>
      </c>
      <c r="F243" s="253"/>
      <c r="G243" s="253" t="s">
        <v>1953</v>
      </c>
      <c r="H243" s="253"/>
    </row>
    <row r="244" spans="2:13" x14ac:dyDescent="0.25">
      <c r="B244" s="14"/>
      <c r="C244" s="189"/>
      <c r="D244" s="189"/>
      <c r="E244" s="189"/>
      <c r="F244" s="189"/>
      <c r="G244" s="189"/>
      <c r="H244" s="189"/>
    </row>
    <row r="245" spans="2:13" x14ac:dyDescent="0.25">
      <c r="B245" s="13" t="s">
        <v>1046</v>
      </c>
      <c r="C245" s="252" t="s">
        <v>4522</v>
      </c>
      <c r="D245" s="252"/>
      <c r="E245" s="252" t="s">
        <v>3367</v>
      </c>
      <c r="F245" s="252"/>
      <c r="G245" s="252" t="s">
        <v>1953</v>
      </c>
      <c r="H245" s="252"/>
    </row>
    <row r="246" spans="2:13" ht="15.75" thickBot="1" x14ac:dyDescent="0.3">
      <c r="B246" s="13"/>
      <c r="C246" s="188"/>
      <c r="D246" s="188"/>
      <c r="E246" s="188"/>
      <c r="F246" s="188"/>
      <c r="G246" s="188"/>
      <c r="H246" s="188"/>
    </row>
    <row r="247" spans="2:13" x14ac:dyDescent="0.25">
      <c r="B247" s="217" t="s">
        <v>401</v>
      </c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9"/>
    </row>
    <row r="248" spans="2:13" x14ac:dyDescent="0.25">
      <c r="B248" s="3" t="s">
        <v>402</v>
      </c>
      <c r="C248" s="232" t="s">
        <v>403</v>
      </c>
      <c r="D248" s="232"/>
      <c r="E248" s="232" t="s">
        <v>467</v>
      </c>
      <c r="F248" s="232"/>
      <c r="G248" s="232" t="s">
        <v>405</v>
      </c>
      <c r="H248" s="232"/>
      <c r="I248" s="232" t="s">
        <v>406</v>
      </c>
      <c r="J248" s="232"/>
      <c r="K248" s="234" t="s">
        <v>468</v>
      </c>
      <c r="L248" s="235"/>
      <c r="M248" s="236"/>
    </row>
    <row r="249" spans="2:13" ht="15.75" thickBot="1" x14ac:dyDescent="0.3">
      <c r="B249" s="5">
        <v>1.60263</v>
      </c>
      <c r="C249" s="237"/>
      <c r="D249" s="238"/>
      <c r="E249" s="239">
        <v>0.26100000000000001</v>
      </c>
      <c r="F249" s="238"/>
      <c r="G249" s="240"/>
      <c r="H249" s="240"/>
      <c r="I249" s="241"/>
      <c r="J249" s="241"/>
      <c r="K249" s="242"/>
      <c r="L249" s="243"/>
      <c r="M249" s="244"/>
    </row>
    <row r="250" spans="2:13" ht="15.75" thickBot="1" x14ac:dyDescent="0.3">
      <c r="B250" s="1"/>
      <c r="C250" s="1"/>
      <c r="D250" s="1"/>
      <c r="E250" s="1"/>
      <c r="F250" s="1"/>
      <c r="G250" s="1"/>
      <c r="H250" s="1"/>
    </row>
    <row r="251" spans="2:13" x14ac:dyDescent="0.25">
      <c r="B251" s="217" t="s">
        <v>408</v>
      </c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9"/>
    </row>
    <row r="252" spans="2:13" x14ac:dyDescent="0.25">
      <c r="B252" s="3" t="s">
        <v>4523</v>
      </c>
      <c r="C252" s="232" t="s">
        <v>1553</v>
      </c>
      <c r="D252" s="232"/>
      <c r="E252" s="233" t="s">
        <v>2769</v>
      </c>
      <c r="F252" s="233"/>
      <c r="G252" s="233" t="s">
        <v>4524</v>
      </c>
      <c r="H252" s="233"/>
      <c r="I252" s="233" t="s">
        <v>4525</v>
      </c>
      <c r="J252" s="233"/>
      <c r="K252" s="232" t="s">
        <v>4526</v>
      </c>
      <c r="L252" s="232"/>
      <c r="M252" s="269"/>
    </row>
    <row r="253" spans="2:13" ht="15.75" thickBot="1" x14ac:dyDescent="0.3">
      <c r="B253" s="5" t="s">
        <v>4527</v>
      </c>
      <c r="C253" s="240" t="s">
        <v>3247</v>
      </c>
      <c r="D253" s="240"/>
      <c r="E253" s="266" t="s">
        <v>2777</v>
      </c>
      <c r="F253" s="266"/>
      <c r="G253" s="239" t="s">
        <v>2775</v>
      </c>
      <c r="H253" s="238"/>
      <c r="I253" s="237" t="s">
        <v>2776</v>
      </c>
      <c r="J253" s="238"/>
      <c r="K253" s="240" t="s">
        <v>4528</v>
      </c>
      <c r="L253" s="240"/>
      <c r="M253" s="267"/>
    </row>
    <row r="255" spans="2:13" ht="23.25" x14ac:dyDescent="0.35">
      <c r="B255" s="29" t="s">
        <v>334</v>
      </c>
      <c r="C255" s="229" t="s">
        <v>43</v>
      </c>
      <c r="D255" s="229"/>
      <c r="E255" s="229"/>
      <c r="F255" s="229"/>
      <c r="G255" s="229"/>
      <c r="H255" s="229"/>
      <c r="I255" s="229"/>
      <c r="J255" s="229"/>
    </row>
    <row r="256" spans="2:13" ht="18.75" x14ac:dyDescent="0.3">
      <c r="B256" s="12" t="s">
        <v>335</v>
      </c>
      <c r="C256" s="195" t="s">
        <v>4284</v>
      </c>
      <c r="D256" s="228" t="s">
        <v>427</v>
      </c>
      <c r="E256" s="228"/>
      <c r="F256" s="1" t="s">
        <v>3927</v>
      </c>
      <c r="L256" s="12" t="s">
        <v>339</v>
      </c>
      <c r="M256" s="6" t="s">
        <v>4529</v>
      </c>
    </row>
    <row r="258" spans="2:13" x14ac:dyDescent="0.25">
      <c r="B258" s="2" t="s">
        <v>341</v>
      </c>
      <c r="C258" s="250" t="s">
        <v>4530</v>
      </c>
      <c r="D258" s="250"/>
      <c r="E258" s="216" t="s">
        <v>4531</v>
      </c>
      <c r="F258" s="216"/>
      <c r="G258" s="216" t="s">
        <v>4532</v>
      </c>
      <c r="H258" s="216"/>
      <c r="I258" s="228" t="s">
        <v>345</v>
      </c>
      <c r="J258" s="228"/>
      <c r="K258" s="228"/>
      <c r="L258" s="228"/>
      <c r="M258" s="228"/>
    </row>
    <row r="259" spans="2:13" x14ac:dyDescent="0.25">
      <c r="C259" s="251"/>
      <c r="D259" s="251"/>
      <c r="E259" s="251"/>
      <c r="F259" s="251"/>
      <c r="G259" s="251"/>
      <c r="H259" s="251"/>
      <c r="I259" s="7"/>
      <c r="J259" s="7"/>
      <c r="K259" s="7"/>
      <c r="L259" s="7"/>
      <c r="M259" s="7"/>
    </row>
    <row r="260" spans="2:13" x14ac:dyDescent="0.25">
      <c r="B260" s="11" t="s">
        <v>4533</v>
      </c>
      <c r="C260" s="323" t="s">
        <v>4534</v>
      </c>
      <c r="D260" s="323" t="s">
        <v>744</v>
      </c>
      <c r="E260" s="252" t="s">
        <v>4535</v>
      </c>
      <c r="F260" s="252" t="s">
        <v>508</v>
      </c>
      <c r="G260" s="252" t="s">
        <v>4536</v>
      </c>
      <c r="H260" s="252" t="s">
        <v>390</v>
      </c>
      <c r="I260" s="14" t="s">
        <v>4537</v>
      </c>
      <c r="J260" s="7"/>
      <c r="K260" s="7"/>
      <c r="L260" s="7"/>
      <c r="M260" s="7"/>
    </row>
    <row r="261" spans="2:13" x14ac:dyDescent="0.25">
      <c r="B261" s="11" t="s">
        <v>4538</v>
      </c>
      <c r="C261" s="205"/>
      <c r="D261" s="205"/>
      <c r="E261" s="252"/>
      <c r="F261" s="252"/>
      <c r="G261" s="252"/>
      <c r="H261" s="252"/>
      <c r="I261" s="14" t="s">
        <v>4539</v>
      </c>
      <c r="J261" s="7"/>
      <c r="K261" s="7"/>
      <c r="L261" s="7"/>
      <c r="M261" s="7"/>
    </row>
    <row r="262" spans="2:13" x14ac:dyDescent="0.25">
      <c r="B262" s="1" t="s">
        <v>2390</v>
      </c>
      <c r="C262" s="290" t="s">
        <v>4534</v>
      </c>
      <c r="D262" s="290" t="s">
        <v>390</v>
      </c>
      <c r="E262" s="253" t="s">
        <v>4535</v>
      </c>
      <c r="F262" s="253" t="s">
        <v>392</v>
      </c>
      <c r="G262" s="253" t="s">
        <v>4536</v>
      </c>
      <c r="H262" s="253" t="s">
        <v>789</v>
      </c>
      <c r="I262" s="14" t="s">
        <v>4540</v>
      </c>
      <c r="J262" s="7"/>
      <c r="K262" s="7"/>
      <c r="L262" s="7"/>
      <c r="M262" s="7"/>
    </row>
    <row r="263" spans="2:13" x14ac:dyDescent="0.25">
      <c r="B263" s="1" t="s">
        <v>4538</v>
      </c>
      <c r="C263" s="189"/>
      <c r="D263" s="189"/>
      <c r="E263" s="253"/>
      <c r="F263" s="253"/>
      <c r="G263" s="253"/>
      <c r="H263" s="253"/>
      <c r="I263" s="14" t="s">
        <v>4541</v>
      </c>
      <c r="J263" s="7"/>
      <c r="K263" s="7"/>
      <c r="L263" s="7"/>
      <c r="M263" s="7"/>
    </row>
    <row r="264" spans="2:13" x14ac:dyDescent="0.25">
      <c r="B264" s="120" t="s">
        <v>4542</v>
      </c>
      <c r="C264" s="331" t="s">
        <v>3445</v>
      </c>
      <c r="D264" s="331" t="s">
        <v>390</v>
      </c>
      <c r="E264" s="254" t="s">
        <v>2105</v>
      </c>
      <c r="F264" s="254" t="s">
        <v>392</v>
      </c>
      <c r="G264" s="254" t="s">
        <v>2178</v>
      </c>
      <c r="H264" s="254" t="s">
        <v>789</v>
      </c>
      <c r="I264" s="14" t="s">
        <v>4543</v>
      </c>
      <c r="J264" s="7"/>
      <c r="K264" s="7"/>
      <c r="L264" s="7"/>
      <c r="M264" s="7"/>
    </row>
    <row r="265" spans="2:13" x14ac:dyDescent="0.25">
      <c r="B265" s="11"/>
      <c r="C265" s="188"/>
      <c r="D265" s="188"/>
      <c r="E265" s="252"/>
      <c r="F265" s="252"/>
      <c r="G265" s="252"/>
      <c r="H265" s="252"/>
      <c r="I265" s="14" t="s">
        <v>4544</v>
      </c>
      <c r="J265" s="7"/>
      <c r="K265" s="7"/>
      <c r="L265" s="7"/>
      <c r="M265" s="7"/>
    </row>
    <row r="266" spans="2:13" x14ac:dyDescent="0.25">
      <c r="B266" s="32" t="s">
        <v>4545</v>
      </c>
      <c r="C266" s="332" t="s">
        <v>2587</v>
      </c>
      <c r="D266" s="332" t="s">
        <v>744</v>
      </c>
      <c r="E266" s="255" t="s">
        <v>375</v>
      </c>
      <c r="F266" s="255" t="s">
        <v>508</v>
      </c>
      <c r="G266" s="255" t="s">
        <v>383</v>
      </c>
      <c r="H266" s="255" t="s">
        <v>390</v>
      </c>
      <c r="I266" s="14" t="s">
        <v>4546</v>
      </c>
      <c r="J266" s="7"/>
      <c r="K266" s="7"/>
      <c r="L266" s="7"/>
      <c r="M266" s="7"/>
    </row>
    <row r="267" spans="2:13" x14ac:dyDescent="0.25">
      <c r="B267" s="32" t="s">
        <v>4547</v>
      </c>
      <c r="C267" s="191"/>
      <c r="D267" s="191"/>
      <c r="E267" s="255"/>
      <c r="F267" s="255"/>
      <c r="G267" s="255"/>
      <c r="H267" s="255"/>
      <c r="I267" s="14" t="s">
        <v>2367</v>
      </c>
      <c r="J267" s="7"/>
      <c r="K267" s="7"/>
      <c r="L267" s="7"/>
      <c r="M267" s="7"/>
    </row>
    <row r="268" spans="2:13" x14ac:dyDescent="0.25">
      <c r="B268" s="120" t="s">
        <v>4548</v>
      </c>
      <c r="C268" s="331" t="s">
        <v>4549</v>
      </c>
      <c r="D268" s="331" t="s">
        <v>4356</v>
      </c>
      <c r="E268" s="331" t="s">
        <v>4550</v>
      </c>
      <c r="F268" s="331" t="s">
        <v>4356</v>
      </c>
      <c r="G268" s="331" t="s">
        <v>4551</v>
      </c>
      <c r="H268" s="331" t="s">
        <v>4356</v>
      </c>
      <c r="I268" s="14" t="s">
        <v>4552</v>
      </c>
      <c r="K268" s="7"/>
      <c r="L268" s="7"/>
      <c r="M268" s="7"/>
    </row>
    <row r="269" spans="2:13" x14ac:dyDescent="0.25">
      <c r="B269" s="120" t="s">
        <v>4553</v>
      </c>
      <c r="C269" s="335" t="s">
        <v>4554</v>
      </c>
      <c r="D269" s="335"/>
      <c r="E269" s="335" t="s">
        <v>4554</v>
      </c>
      <c r="F269" s="335"/>
      <c r="G269" s="335" t="s">
        <v>4554</v>
      </c>
      <c r="H269" s="335"/>
      <c r="I269" t="s">
        <v>4555</v>
      </c>
      <c r="J269" s="7"/>
      <c r="K269" s="7"/>
      <c r="L269" s="7"/>
      <c r="M269" s="7"/>
    </row>
    <row r="270" spans="2:13" x14ac:dyDescent="0.25">
      <c r="B270" s="217" t="s">
        <v>401</v>
      </c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9"/>
    </row>
    <row r="271" spans="2:13" x14ac:dyDescent="0.25">
      <c r="B271" s="3" t="s">
        <v>402</v>
      </c>
      <c r="C271" s="232" t="s">
        <v>403</v>
      </c>
      <c r="D271" s="232"/>
      <c r="E271" s="233" t="s">
        <v>404</v>
      </c>
      <c r="F271" s="233"/>
      <c r="G271" s="232" t="s">
        <v>405</v>
      </c>
      <c r="H271" s="232"/>
      <c r="I271" s="232" t="s">
        <v>406</v>
      </c>
      <c r="J271" s="232"/>
      <c r="K271" s="234" t="s">
        <v>407</v>
      </c>
      <c r="L271" s="235"/>
      <c r="M271" s="236"/>
    </row>
    <row r="272" spans="2:13" ht="15.75" thickBot="1" x14ac:dyDescent="0.3">
      <c r="B272" s="5"/>
      <c r="C272" s="237"/>
      <c r="D272" s="238"/>
      <c r="E272" s="239">
        <v>1.4E-2</v>
      </c>
      <c r="F272" s="238"/>
      <c r="G272" s="240"/>
      <c r="H272" s="240"/>
      <c r="I272" s="241"/>
      <c r="J272" s="241"/>
      <c r="K272" s="242">
        <v>1.92</v>
      </c>
      <c r="L272" s="243"/>
      <c r="M272" s="244"/>
    </row>
    <row r="273" spans="2:13" x14ac:dyDescent="0.25">
      <c r="B273" s="1"/>
      <c r="C273" s="1"/>
      <c r="D273" s="1"/>
      <c r="E273" s="1"/>
      <c r="F273" s="1"/>
      <c r="G273" s="1"/>
      <c r="H273" s="1"/>
    </row>
    <row r="274" spans="2:13" x14ac:dyDescent="0.25">
      <c r="B274" s="217" t="s">
        <v>408</v>
      </c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9"/>
    </row>
    <row r="275" spans="2:13" x14ac:dyDescent="0.25">
      <c r="B275" s="122" t="s">
        <v>4556</v>
      </c>
      <c r="C275" s="220" t="s">
        <v>4334</v>
      </c>
      <c r="D275" s="220"/>
      <c r="E275" s="221" t="s">
        <v>4557</v>
      </c>
      <c r="F275" s="221"/>
      <c r="G275" s="221" t="s">
        <v>4558</v>
      </c>
      <c r="H275" s="221"/>
      <c r="I275" s="220" t="s">
        <v>4559</v>
      </c>
      <c r="J275" s="220"/>
      <c r="K275" s="220" t="s">
        <v>4560</v>
      </c>
      <c r="L275" s="220"/>
      <c r="M275" s="222"/>
    </row>
    <row r="276" spans="2:13" x14ac:dyDescent="0.25">
      <c r="B276" s="123" t="s">
        <v>3918</v>
      </c>
      <c r="C276" s="225" t="s">
        <v>1733</v>
      </c>
      <c r="D276" s="226"/>
      <c r="E276" s="223" t="s">
        <v>4561</v>
      </c>
      <c r="F276" s="223"/>
      <c r="G276" s="223" t="s">
        <v>4562</v>
      </c>
      <c r="H276" s="223"/>
      <c r="I276" s="227" t="s">
        <v>4563</v>
      </c>
      <c r="J276" s="227"/>
      <c r="K276" s="223" t="s">
        <v>4141</v>
      </c>
      <c r="L276" s="223"/>
      <c r="M276" s="224"/>
    </row>
    <row r="277" spans="2:13" x14ac:dyDescent="0.25">
      <c r="B277" s="123" t="s">
        <v>4564</v>
      </c>
      <c r="C277" s="225" t="s">
        <v>422</v>
      </c>
      <c r="D277" s="226"/>
      <c r="E277" s="227" t="s">
        <v>4565</v>
      </c>
      <c r="F277" s="227"/>
      <c r="G277" s="223" t="s">
        <v>2358</v>
      </c>
      <c r="H277" s="223"/>
      <c r="I277" s="223" t="s">
        <v>4566</v>
      </c>
      <c r="J277" s="223"/>
      <c r="K277" s="223" t="s">
        <v>4567</v>
      </c>
      <c r="L277" s="223"/>
      <c r="M277" s="224"/>
    </row>
    <row r="279" spans="2:13" ht="23.25" x14ac:dyDescent="0.35">
      <c r="B279" s="29" t="s">
        <v>334</v>
      </c>
      <c r="C279" s="229" t="s">
        <v>108</v>
      </c>
      <c r="D279" s="229"/>
      <c r="E279" s="229"/>
      <c r="F279" s="229"/>
      <c r="G279" s="229"/>
      <c r="H279" s="229"/>
      <c r="I279" s="229"/>
      <c r="J279" s="229"/>
    </row>
    <row r="280" spans="2:13" ht="18.75" x14ac:dyDescent="0.3">
      <c r="B280" s="12" t="s">
        <v>335</v>
      </c>
      <c r="C280" s="195" t="s">
        <v>4284</v>
      </c>
      <c r="D280" s="228" t="s">
        <v>427</v>
      </c>
      <c r="E280" s="228"/>
      <c r="F280" s="1" t="s">
        <v>3173</v>
      </c>
      <c r="L280" s="12" t="s">
        <v>339</v>
      </c>
      <c r="M280" s="6" t="s">
        <v>4568</v>
      </c>
    </row>
    <row r="282" spans="2:13" x14ac:dyDescent="0.25">
      <c r="B282" s="2" t="s">
        <v>341</v>
      </c>
      <c r="C282" s="250" t="s">
        <v>342</v>
      </c>
      <c r="D282" s="250"/>
      <c r="E282" s="250" t="s">
        <v>343</v>
      </c>
      <c r="F282" s="250"/>
      <c r="G282" s="250" t="s">
        <v>954</v>
      </c>
      <c r="H282" s="250"/>
      <c r="I282" s="228" t="s">
        <v>345</v>
      </c>
      <c r="J282" s="228"/>
      <c r="K282" s="228"/>
      <c r="L282" s="228"/>
      <c r="M282" s="228"/>
    </row>
    <row r="283" spans="2:13" x14ac:dyDescent="0.25">
      <c r="C283" s="251"/>
      <c r="D283" s="251"/>
      <c r="E283" s="251"/>
      <c r="F283" s="251"/>
      <c r="G283" s="251"/>
      <c r="H283" s="251"/>
      <c r="I283" s="7"/>
      <c r="J283" s="7"/>
      <c r="K283" s="7"/>
      <c r="L283" s="7"/>
      <c r="M283" s="7"/>
    </row>
    <row r="284" spans="2:13" x14ac:dyDescent="0.25">
      <c r="B284" s="11" t="s">
        <v>4569</v>
      </c>
      <c r="C284" s="323"/>
      <c r="D284" s="323" t="s">
        <v>744</v>
      </c>
      <c r="E284" s="252"/>
      <c r="F284" s="252" t="s">
        <v>508</v>
      </c>
      <c r="G284" s="252"/>
      <c r="H284" s="252" t="s">
        <v>390</v>
      </c>
      <c r="I284" s="14" t="s">
        <v>4570</v>
      </c>
      <c r="J284" s="7"/>
      <c r="K284" s="7"/>
      <c r="L284" s="7"/>
      <c r="M284" s="7"/>
    </row>
    <row r="285" spans="2:13" x14ac:dyDescent="0.25">
      <c r="B285" s="11"/>
      <c r="C285" s="205"/>
      <c r="D285" s="205"/>
      <c r="E285" s="252"/>
      <c r="F285" s="252"/>
      <c r="G285" s="252"/>
      <c r="H285" s="252"/>
      <c r="I285" s="14" t="s">
        <v>4571</v>
      </c>
      <c r="J285" s="7"/>
      <c r="K285" s="7"/>
      <c r="L285" s="7"/>
      <c r="M285" s="7"/>
    </row>
    <row r="286" spans="2:13" x14ac:dyDescent="0.25">
      <c r="B286" s="1" t="s">
        <v>4572</v>
      </c>
      <c r="C286" s="290" t="s">
        <v>4573</v>
      </c>
      <c r="D286" s="290" t="s">
        <v>390</v>
      </c>
      <c r="E286" s="253" t="s">
        <v>4574</v>
      </c>
      <c r="F286" s="253" t="s">
        <v>392</v>
      </c>
      <c r="G286" s="253" t="s">
        <v>4575</v>
      </c>
      <c r="H286" s="253" t="s">
        <v>789</v>
      </c>
      <c r="I286" s="14" t="s">
        <v>4576</v>
      </c>
      <c r="J286" s="7"/>
      <c r="K286" s="7"/>
      <c r="L286" s="7"/>
      <c r="M286" s="7"/>
    </row>
    <row r="287" spans="2:13" x14ac:dyDescent="0.25">
      <c r="B287" s="1" t="s">
        <v>4577</v>
      </c>
      <c r="C287" s="189"/>
      <c r="D287" s="189"/>
      <c r="E287" s="253"/>
      <c r="F287" s="253"/>
      <c r="G287" s="253"/>
      <c r="H287" s="253"/>
      <c r="I287" s="14" t="s">
        <v>4578</v>
      </c>
      <c r="J287" s="7"/>
      <c r="K287" s="7"/>
      <c r="L287" s="7"/>
      <c r="M287" s="7"/>
    </row>
    <row r="288" spans="2:13" x14ac:dyDescent="0.25">
      <c r="B288" s="11" t="s">
        <v>454</v>
      </c>
      <c r="C288" s="323" t="s">
        <v>4579</v>
      </c>
      <c r="D288" s="323" t="s">
        <v>744</v>
      </c>
      <c r="E288" s="252" t="s">
        <v>390</v>
      </c>
      <c r="F288" s="252" t="s">
        <v>508</v>
      </c>
      <c r="G288" s="252" t="s">
        <v>1325</v>
      </c>
      <c r="H288" s="252" t="s">
        <v>390</v>
      </c>
      <c r="I288" s="14" t="s">
        <v>4580</v>
      </c>
      <c r="J288" s="7"/>
      <c r="K288" s="7"/>
      <c r="L288" s="7"/>
      <c r="M288" s="7"/>
    </row>
    <row r="289" spans="2:13" x14ac:dyDescent="0.25">
      <c r="B289" s="11"/>
      <c r="C289" s="188"/>
      <c r="D289" s="188"/>
      <c r="E289" s="252"/>
      <c r="F289" s="252"/>
      <c r="G289" s="252"/>
      <c r="H289" s="252"/>
      <c r="I289" s="14" t="s">
        <v>4581</v>
      </c>
      <c r="J289" s="7"/>
      <c r="K289" s="7"/>
      <c r="L289" s="7"/>
      <c r="M289" s="7"/>
    </row>
    <row r="290" spans="2:13" x14ac:dyDescent="0.25">
      <c r="B290" s="1" t="s">
        <v>2108</v>
      </c>
      <c r="C290" s="290" t="s">
        <v>4579</v>
      </c>
      <c r="D290" s="290" t="s">
        <v>4356</v>
      </c>
      <c r="E290" s="253" t="s">
        <v>390</v>
      </c>
      <c r="F290" s="253" t="s">
        <v>854</v>
      </c>
      <c r="G290" s="253" t="s">
        <v>1325</v>
      </c>
      <c r="H290" s="253" t="s">
        <v>1443</v>
      </c>
      <c r="I290" s="14" t="s">
        <v>4582</v>
      </c>
      <c r="J290" s="7"/>
      <c r="K290" s="7"/>
      <c r="L290" s="7"/>
      <c r="M290" s="7"/>
    </row>
    <row r="291" spans="2:13" x14ac:dyDescent="0.25">
      <c r="B291" s="1"/>
      <c r="C291" s="189"/>
      <c r="D291" s="189"/>
      <c r="E291" s="253"/>
      <c r="F291" s="253"/>
      <c r="G291" s="253"/>
      <c r="H291" s="253"/>
      <c r="I291" s="14" t="s">
        <v>4583</v>
      </c>
      <c r="J291" s="7"/>
      <c r="K291" s="7"/>
      <c r="L291" s="7"/>
      <c r="M291" s="7"/>
    </row>
    <row r="292" spans="2:13" x14ac:dyDescent="0.25">
      <c r="B292" s="11" t="s">
        <v>1224</v>
      </c>
      <c r="C292" s="323" t="s">
        <v>4579</v>
      </c>
      <c r="D292" s="323" t="s">
        <v>744</v>
      </c>
      <c r="E292" s="252" t="s">
        <v>390</v>
      </c>
      <c r="F292" s="252" t="s">
        <v>508</v>
      </c>
      <c r="G292" s="252" t="s">
        <v>1325</v>
      </c>
      <c r="H292" s="252" t="s">
        <v>390</v>
      </c>
      <c r="I292" s="14" t="s">
        <v>4584</v>
      </c>
      <c r="K292" s="7"/>
      <c r="L292" s="7"/>
      <c r="M292" s="7"/>
    </row>
    <row r="293" spans="2:13" x14ac:dyDescent="0.25">
      <c r="B293" s="11"/>
      <c r="C293" s="188"/>
      <c r="D293" s="188"/>
      <c r="E293" s="252"/>
      <c r="F293" s="252"/>
      <c r="G293" s="252"/>
      <c r="H293" s="252"/>
      <c r="I293" s="14" t="s">
        <v>4585</v>
      </c>
      <c r="J293" s="7"/>
      <c r="K293" s="7"/>
      <c r="L293" s="7"/>
      <c r="M293" s="7"/>
    </row>
    <row r="294" spans="2:13" x14ac:dyDescent="0.25">
      <c r="B294" s="1" t="s">
        <v>1952</v>
      </c>
      <c r="C294" s="290" t="s">
        <v>4579</v>
      </c>
      <c r="D294" s="290" t="s">
        <v>4356</v>
      </c>
      <c r="E294" s="253" t="s">
        <v>390</v>
      </c>
      <c r="F294" s="253" t="s">
        <v>854</v>
      </c>
      <c r="G294" s="253" t="s">
        <v>1325</v>
      </c>
      <c r="H294" s="253" t="s">
        <v>1443</v>
      </c>
      <c r="I294" s="14" t="s">
        <v>4586</v>
      </c>
      <c r="J294" s="14"/>
      <c r="K294" s="7"/>
      <c r="L294" s="7"/>
      <c r="M294" s="7"/>
    </row>
    <row r="295" spans="2:13" x14ac:dyDescent="0.25">
      <c r="B295" s="1"/>
      <c r="C295" s="199"/>
      <c r="D295" s="199"/>
      <c r="E295" s="253"/>
      <c r="F295" s="253"/>
      <c r="G295" s="253"/>
      <c r="H295" s="253"/>
      <c r="I295" s="14" t="s">
        <v>4587</v>
      </c>
      <c r="J295" s="14"/>
      <c r="K295" s="7"/>
      <c r="L295" s="7"/>
      <c r="M295" s="7"/>
    </row>
    <row r="296" spans="2:13" x14ac:dyDescent="0.25">
      <c r="B296" s="11" t="s">
        <v>518</v>
      </c>
      <c r="C296" s="323" t="s">
        <v>4588</v>
      </c>
      <c r="D296" s="323" t="s">
        <v>657</v>
      </c>
      <c r="E296" s="252" t="s">
        <v>4589</v>
      </c>
      <c r="F296" s="252" t="s">
        <v>486</v>
      </c>
      <c r="G296" s="252" t="s">
        <v>4590</v>
      </c>
      <c r="H296" s="252" t="s">
        <v>4369</v>
      </c>
      <c r="I296" s="14"/>
      <c r="K296" s="7"/>
      <c r="L296" s="7"/>
      <c r="M296" s="7"/>
    </row>
    <row r="297" spans="2:13" x14ac:dyDescent="0.25">
      <c r="B297" s="11"/>
      <c r="C297" s="205"/>
      <c r="D297" s="205"/>
      <c r="E297" s="252"/>
      <c r="F297" s="252"/>
      <c r="G297" s="252"/>
      <c r="H297" s="252"/>
      <c r="I297" s="14"/>
    </row>
    <row r="298" spans="2:13" x14ac:dyDescent="0.25">
      <c r="B298" s="1" t="s">
        <v>1536</v>
      </c>
      <c r="C298" s="290" t="s">
        <v>4588</v>
      </c>
      <c r="D298" s="290" t="s">
        <v>495</v>
      </c>
      <c r="E298" s="253" t="s">
        <v>4589</v>
      </c>
      <c r="F298" s="253" t="s">
        <v>2708</v>
      </c>
      <c r="G298" s="253" t="s">
        <v>4590</v>
      </c>
      <c r="H298" s="253" t="s">
        <v>437</v>
      </c>
      <c r="I298" s="14"/>
    </row>
    <row r="299" spans="2:13" ht="15.75" thickBot="1" x14ac:dyDescent="0.3">
      <c r="B299" s="32"/>
      <c r="C299" s="199"/>
      <c r="D299" s="199"/>
      <c r="E299" s="253"/>
      <c r="F299" s="253"/>
      <c r="G299" s="253"/>
      <c r="H299" s="253"/>
      <c r="I299" s="14"/>
    </row>
    <row r="300" spans="2:13" x14ac:dyDescent="0.25">
      <c r="B300" s="217" t="s">
        <v>401</v>
      </c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9"/>
    </row>
    <row r="301" spans="2:13" x14ac:dyDescent="0.25">
      <c r="B301" s="3" t="s">
        <v>402</v>
      </c>
      <c r="C301" s="232" t="s">
        <v>403</v>
      </c>
      <c r="D301" s="232"/>
      <c r="E301" s="233" t="s">
        <v>404</v>
      </c>
      <c r="F301" s="233"/>
      <c r="G301" s="232" t="s">
        <v>405</v>
      </c>
      <c r="H301" s="232"/>
      <c r="I301" s="232" t="s">
        <v>1766</v>
      </c>
      <c r="J301" s="232"/>
      <c r="K301" s="234" t="s">
        <v>407</v>
      </c>
      <c r="L301" s="235"/>
      <c r="M301" s="236"/>
    </row>
    <row r="302" spans="2:13" ht="15.75" thickBot="1" x14ac:dyDescent="0.3">
      <c r="B302" s="5"/>
      <c r="C302" s="237"/>
      <c r="D302" s="238"/>
      <c r="E302" s="239">
        <v>8.2400000000000001E-2</v>
      </c>
      <c r="F302" s="238"/>
      <c r="G302" s="240"/>
      <c r="H302" s="240"/>
      <c r="I302" s="241">
        <v>0.54</v>
      </c>
      <c r="J302" s="241"/>
      <c r="K302" s="242">
        <v>1.0449999999999999E-2</v>
      </c>
      <c r="L302" s="243"/>
      <c r="M302" s="244"/>
    </row>
    <row r="303" spans="2:13" x14ac:dyDescent="0.25">
      <c r="B303" s="1"/>
      <c r="C303" s="1"/>
      <c r="D303" s="1"/>
      <c r="E303" s="1"/>
      <c r="F303" s="1"/>
      <c r="G303" s="1"/>
      <c r="H303" s="1"/>
    </row>
    <row r="304" spans="2:13" x14ac:dyDescent="0.25">
      <c r="B304" s="217" t="s">
        <v>408</v>
      </c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9"/>
    </row>
    <row r="305" spans="2:13" x14ac:dyDescent="0.25">
      <c r="B305" s="122" t="s">
        <v>4591</v>
      </c>
      <c r="C305" s="220" t="s">
        <v>4592</v>
      </c>
      <c r="D305" s="220"/>
      <c r="E305" s="221" t="s">
        <v>4593</v>
      </c>
      <c r="F305" s="221"/>
      <c r="G305" s="221" t="s">
        <v>692</v>
      </c>
      <c r="H305" s="221"/>
      <c r="I305" s="220" t="s">
        <v>4594</v>
      </c>
      <c r="J305" s="220"/>
      <c r="K305" s="220" t="s">
        <v>4595</v>
      </c>
      <c r="L305" s="220"/>
      <c r="M305" s="222"/>
    </row>
    <row r="306" spans="2:13" x14ac:dyDescent="0.25">
      <c r="B306" s="123" t="s">
        <v>4596</v>
      </c>
      <c r="C306" s="225" t="s">
        <v>3919</v>
      </c>
      <c r="D306" s="226"/>
      <c r="E306" s="223" t="s">
        <v>4597</v>
      </c>
      <c r="F306" s="223"/>
      <c r="G306" s="223" t="s">
        <v>4598</v>
      </c>
      <c r="H306" s="223"/>
      <c r="I306" s="227" t="s">
        <v>4599</v>
      </c>
      <c r="J306" s="227"/>
      <c r="K306" s="223" t="s">
        <v>4600</v>
      </c>
      <c r="L306" s="223"/>
      <c r="M306" s="224"/>
    </row>
    <row r="307" spans="2:13" ht="15.75" customHeight="1" x14ac:dyDescent="0.25">
      <c r="B307" s="123" t="s">
        <v>4601</v>
      </c>
      <c r="C307" s="225" t="s">
        <v>422</v>
      </c>
      <c r="D307" s="226"/>
      <c r="E307" s="227" t="s">
        <v>4602</v>
      </c>
      <c r="F307" s="227"/>
      <c r="G307" s="223" t="s">
        <v>2606</v>
      </c>
      <c r="H307" s="223"/>
      <c r="I307" s="223" t="s">
        <v>4603</v>
      </c>
      <c r="J307" s="223"/>
      <c r="K307" s="223" t="s">
        <v>575</v>
      </c>
      <c r="L307" s="223"/>
      <c r="M307" s="224"/>
    </row>
    <row r="309" spans="2:13" ht="23.25" x14ac:dyDescent="0.35">
      <c r="B309" s="29" t="s">
        <v>334</v>
      </c>
      <c r="C309" s="229" t="s">
        <v>114</v>
      </c>
      <c r="D309" s="229"/>
      <c r="E309" s="229"/>
      <c r="F309" s="229"/>
      <c r="G309" s="229"/>
      <c r="H309" s="229"/>
      <c r="I309" s="229"/>
      <c r="J309" s="229"/>
    </row>
    <row r="310" spans="2:13" ht="18.75" x14ac:dyDescent="0.3">
      <c r="B310" s="12" t="s">
        <v>335</v>
      </c>
      <c r="C310" s="195" t="s">
        <v>4284</v>
      </c>
      <c r="D310" s="228" t="s">
        <v>427</v>
      </c>
      <c r="E310" s="228"/>
      <c r="F310" s="1" t="s">
        <v>3173</v>
      </c>
      <c r="L310" s="12" t="s">
        <v>339</v>
      </c>
      <c r="M310" s="6" t="s">
        <v>113</v>
      </c>
    </row>
    <row r="312" spans="2:13" x14ac:dyDescent="0.25">
      <c r="B312" s="2" t="s">
        <v>341</v>
      </c>
      <c r="C312" s="250" t="s">
        <v>4604</v>
      </c>
      <c r="D312" s="250"/>
      <c r="E312" s="250" t="s">
        <v>343</v>
      </c>
      <c r="F312" s="250"/>
      <c r="G312" s="250" t="s">
        <v>954</v>
      </c>
      <c r="H312" s="250"/>
      <c r="I312" s="228" t="s">
        <v>345</v>
      </c>
      <c r="J312" s="228"/>
      <c r="K312" s="228"/>
      <c r="L312" s="228"/>
      <c r="M312" s="228"/>
    </row>
    <row r="313" spans="2:13" x14ac:dyDescent="0.25">
      <c r="C313" s="251"/>
      <c r="D313" s="251"/>
      <c r="E313" s="251"/>
      <c r="F313" s="251"/>
      <c r="G313" s="251"/>
      <c r="H313" s="251"/>
      <c r="I313" s="7"/>
      <c r="J313" s="7"/>
      <c r="K313" s="7"/>
      <c r="L313" s="7"/>
      <c r="M313" s="7"/>
    </row>
    <row r="314" spans="2:13" x14ac:dyDescent="0.25">
      <c r="B314" s="11" t="s">
        <v>4605</v>
      </c>
      <c r="C314" s="323" t="s">
        <v>2003</v>
      </c>
      <c r="D314" s="323" t="s">
        <v>744</v>
      </c>
      <c r="E314" s="252" t="s">
        <v>4573</v>
      </c>
      <c r="F314" s="252" t="s">
        <v>508</v>
      </c>
      <c r="G314" s="252" t="s">
        <v>4606</v>
      </c>
      <c r="H314" s="252" t="s">
        <v>390</v>
      </c>
      <c r="I314" s="14" t="s">
        <v>1903</v>
      </c>
      <c r="J314" s="7"/>
      <c r="K314" s="7"/>
      <c r="L314" s="7"/>
      <c r="M314" s="7"/>
    </row>
    <row r="315" spans="2:13" x14ac:dyDescent="0.25">
      <c r="B315" s="11"/>
      <c r="C315" s="205"/>
      <c r="D315" s="205"/>
      <c r="E315" s="252"/>
      <c r="F315" s="252"/>
      <c r="G315" s="252"/>
      <c r="H315" s="252"/>
      <c r="I315" s="14" t="s">
        <v>4607</v>
      </c>
      <c r="J315" s="7"/>
      <c r="K315" s="7"/>
      <c r="L315" s="7"/>
      <c r="M315" s="7"/>
    </row>
    <row r="316" spans="2:13" x14ac:dyDescent="0.25">
      <c r="B316" s="1" t="s">
        <v>518</v>
      </c>
      <c r="C316" s="290" t="s">
        <v>1654</v>
      </c>
      <c r="D316" s="290" t="s">
        <v>390</v>
      </c>
      <c r="E316" s="253" t="s">
        <v>1654</v>
      </c>
      <c r="F316" s="253" t="s">
        <v>392</v>
      </c>
      <c r="G316" s="253" t="s">
        <v>1654</v>
      </c>
      <c r="H316" s="253" t="s">
        <v>789</v>
      </c>
      <c r="I316" s="14" t="s">
        <v>4608</v>
      </c>
      <c r="J316" s="7"/>
      <c r="K316" s="7"/>
      <c r="L316" s="7"/>
      <c r="M316" s="7"/>
    </row>
    <row r="317" spans="2:13" x14ac:dyDescent="0.25">
      <c r="B317" s="1"/>
      <c r="C317" s="189"/>
      <c r="D317" s="189"/>
      <c r="E317" s="253"/>
      <c r="F317" s="253"/>
      <c r="G317" s="253"/>
      <c r="H317" s="253"/>
      <c r="I317" s="14"/>
      <c r="J317" s="7"/>
      <c r="K317" s="7"/>
      <c r="L317" s="7"/>
      <c r="M317" s="7"/>
    </row>
    <row r="318" spans="2:13" x14ac:dyDescent="0.25">
      <c r="B318" s="11" t="s">
        <v>1046</v>
      </c>
      <c r="C318" s="323" t="s">
        <v>491</v>
      </c>
      <c r="D318" s="323" t="s">
        <v>744</v>
      </c>
      <c r="E318" s="252" t="s">
        <v>1027</v>
      </c>
      <c r="F318" s="252" t="s">
        <v>508</v>
      </c>
      <c r="G318" s="252" t="s">
        <v>2813</v>
      </c>
      <c r="H318" s="252" t="s">
        <v>390</v>
      </c>
      <c r="I318" s="14"/>
      <c r="J318" s="7"/>
      <c r="K318" s="80"/>
      <c r="L318" s="7"/>
      <c r="M318" s="7"/>
    </row>
    <row r="319" spans="2:13" x14ac:dyDescent="0.25">
      <c r="B319" s="11"/>
      <c r="C319" s="188"/>
      <c r="D319" s="188"/>
      <c r="E319" s="252"/>
      <c r="F319" s="252"/>
      <c r="G319" s="252"/>
      <c r="H319" s="252"/>
      <c r="I319" s="14"/>
      <c r="J319" s="7"/>
      <c r="K319" s="80"/>
      <c r="L319" s="7"/>
      <c r="M319" s="7"/>
    </row>
    <row r="320" spans="2:13" x14ac:dyDescent="0.25">
      <c r="B320" s="1" t="s">
        <v>4609</v>
      </c>
      <c r="C320" s="290" t="s">
        <v>508</v>
      </c>
      <c r="D320" s="290" t="s">
        <v>4356</v>
      </c>
      <c r="E320" s="253" t="s">
        <v>390</v>
      </c>
      <c r="F320" s="253" t="s">
        <v>854</v>
      </c>
      <c r="G320" s="253" t="s">
        <v>4095</v>
      </c>
      <c r="H320" s="253" t="s">
        <v>1443</v>
      </c>
      <c r="I320" s="14"/>
      <c r="J320" s="7"/>
      <c r="K320" s="80"/>
      <c r="L320" s="7"/>
      <c r="M320" s="7"/>
    </row>
    <row r="321" spans="2:13" x14ac:dyDescent="0.25">
      <c r="B321" s="1"/>
      <c r="C321" s="189"/>
      <c r="D321" s="189"/>
      <c r="E321" s="253"/>
      <c r="F321" s="253"/>
      <c r="G321" s="253"/>
      <c r="H321" s="253"/>
      <c r="I321" s="14"/>
      <c r="J321" s="7"/>
      <c r="K321" s="80"/>
      <c r="L321" s="7"/>
      <c r="M321" s="7"/>
    </row>
    <row r="322" spans="2:13" x14ac:dyDescent="0.25">
      <c r="B322" s="11" t="s">
        <v>4610</v>
      </c>
      <c r="C322" s="323" t="s">
        <v>390</v>
      </c>
      <c r="D322" s="323" t="s">
        <v>744</v>
      </c>
      <c r="E322" s="252" t="s">
        <v>392</v>
      </c>
      <c r="F322" s="252" t="s">
        <v>508</v>
      </c>
      <c r="G322" s="252" t="s">
        <v>395</v>
      </c>
      <c r="H322" s="252" t="s">
        <v>390</v>
      </c>
      <c r="I322" s="14"/>
      <c r="K322" s="80"/>
      <c r="L322" s="7"/>
      <c r="M322" s="7"/>
    </row>
    <row r="323" spans="2:13" x14ac:dyDescent="0.25">
      <c r="B323" s="11"/>
      <c r="C323" s="188"/>
      <c r="D323" s="188"/>
      <c r="E323" s="252"/>
      <c r="F323" s="252"/>
      <c r="G323" s="252"/>
      <c r="H323" s="252"/>
      <c r="I323" s="14"/>
      <c r="J323" s="7"/>
      <c r="K323" s="80"/>
      <c r="L323" s="7"/>
      <c r="M323" s="7"/>
    </row>
    <row r="324" spans="2:13" x14ac:dyDescent="0.25">
      <c r="B324" s="1" t="s">
        <v>889</v>
      </c>
      <c r="C324" s="290" t="s">
        <v>891</v>
      </c>
      <c r="D324" s="290" t="s">
        <v>4356</v>
      </c>
      <c r="E324" s="253" t="s">
        <v>1878</v>
      </c>
      <c r="F324" s="253" t="s">
        <v>854</v>
      </c>
      <c r="G324" s="253" t="s">
        <v>742</v>
      </c>
      <c r="H324" s="253" t="s">
        <v>1443</v>
      </c>
      <c r="I324" s="14"/>
      <c r="J324" s="14"/>
      <c r="K324" s="80"/>
      <c r="L324" s="7"/>
      <c r="M324" s="7"/>
    </row>
    <row r="325" spans="2:13" x14ac:dyDescent="0.25">
      <c r="B325" s="1"/>
      <c r="C325" s="199"/>
      <c r="D325" s="199"/>
      <c r="E325" s="253"/>
      <c r="F325" s="253"/>
      <c r="G325" s="253"/>
      <c r="H325" s="253"/>
      <c r="I325" s="14"/>
      <c r="J325" s="14"/>
      <c r="K325" s="80"/>
      <c r="L325" s="7"/>
      <c r="M325" s="7"/>
    </row>
    <row r="326" spans="2:13" x14ac:dyDescent="0.25">
      <c r="B326" s="11" t="s">
        <v>4611</v>
      </c>
      <c r="C326" s="323" t="s">
        <v>2954</v>
      </c>
      <c r="D326" s="323" t="s">
        <v>657</v>
      </c>
      <c r="E326" s="252" t="s">
        <v>4612</v>
      </c>
      <c r="F326" s="252" t="s">
        <v>486</v>
      </c>
      <c r="G326" s="252" t="s">
        <v>4613</v>
      </c>
      <c r="H326" s="252" t="s">
        <v>4369</v>
      </c>
      <c r="I326" s="14"/>
      <c r="K326" s="80"/>
      <c r="L326" s="7"/>
      <c r="M326" s="7"/>
    </row>
    <row r="327" spans="2:13" x14ac:dyDescent="0.25">
      <c r="B327" s="11"/>
      <c r="C327" s="205"/>
      <c r="D327" s="205"/>
      <c r="E327" s="252"/>
      <c r="F327" s="252"/>
      <c r="G327" s="252"/>
      <c r="H327" s="252"/>
      <c r="I327" s="14"/>
      <c r="K327" s="81"/>
    </row>
    <row r="328" spans="2:13" x14ac:dyDescent="0.25">
      <c r="B328" s="1" t="s">
        <v>2426</v>
      </c>
      <c r="C328" s="290" t="s">
        <v>390</v>
      </c>
      <c r="D328" s="290" t="s">
        <v>495</v>
      </c>
      <c r="E328" s="253" t="s">
        <v>392</v>
      </c>
      <c r="F328" s="253" t="s">
        <v>2708</v>
      </c>
      <c r="G328" s="253" t="s">
        <v>395</v>
      </c>
      <c r="H328" s="253" t="s">
        <v>437</v>
      </c>
      <c r="I328" s="14"/>
      <c r="K328" s="81"/>
    </row>
    <row r="329" spans="2:13" x14ac:dyDescent="0.25">
      <c r="B329" s="1"/>
      <c r="C329" s="199"/>
      <c r="D329" s="199"/>
      <c r="E329" s="189"/>
      <c r="F329" s="189"/>
      <c r="G329" s="189"/>
      <c r="H329" s="189"/>
      <c r="I329" s="14"/>
      <c r="K329" s="81"/>
    </row>
    <row r="330" spans="2:13" x14ac:dyDescent="0.25">
      <c r="B330" s="120" t="s">
        <v>1458</v>
      </c>
      <c r="C330" s="331" t="s">
        <v>4024</v>
      </c>
      <c r="D330" s="331"/>
      <c r="E330" s="254" t="s">
        <v>4614</v>
      </c>
      <c r="F330" s="254"/>
      <c r="G330" s="254" t="s">
        <v>4615</v>
      </c>
      <c r="H330" s="254"/>
      <c r="I330" s="14"/>
      <c r="K330" s="81"/>
    </row>
    <row r="331" spans="2:13" x14ac:dyDescent="0.25">
      <c r="B331" s="120"/>
      <c r="C331" s="206"/>
      <c r="D331" s="206"/>
      <c r="E331" s="190"/>
      <c r="F331" s="190"/>
      <c r="G331" s="190"/>
      <c r="H331" s="190"/>
      <c r="I331" s="14"/>
      <c r="K331" s="81"/>
    </row>
    <row r="332" spans="2:13" x14ac:dyDescent="0.25">
      <c r="B332" s="217" t="s">
        <v>401</v>
      </c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9"/>
    </row>
    <row r="333" spans="2:13" x14ac:dyDescent="0.25">
      <c r="B333" s="3" t="s">
        <v>402</v>
      </c>
      <c r="C333" s="232" t="s">
        <v>403</v>
      </c>
      <c r="D333" s="232"/>
      <c r="E333" s="232" t="s">
        <v>1766</v>
      </c>
      <c r="F333" s="232"/>
      <c r="G333" s="232" t="s">
        <v>405</v>
      </c>
      <c r="H333" s="232"/>
      <c r="I333" s="232" t="s">
        <v>406</v>
      </c>
      <c r="J333" s="232"/>
      <c r="K333" s="234" t="s">
        <v>468</v>
      </c>
      <c r="L333" s="235"/>
      <c r="M333" s="236"/>
    </row>
    <row r="334" spans="2:13" ht="15.75" thickBot="1" x14ac:dyDescent="0.3">
      <c r="B334" s="5"/>
      <c r="C334" s="237"/>
      <c r="D334" s="238"/>
      <c r="E334" s="239">
        <v>0.8</v>
      </c>
      <c r="F334" s="238"/>
      <c r="G334" s="240"/>
      <c r="H334" s="240"/>
      <c r="I334" s="241"/>
      <c r="J334" s="241"/>
      <c r="K334" s="242"/>
      <c r="L334" s="243"/>
      <c r="M334" s="244"/>
    </row>
    <row r="335" spans="2:13" x14ac:dyDescent="0.25">
      <c r="B335" s="1"/>
      <c r="C335" s="1"/>
      <c r="D335" s="1"/>
      <c r="E335" s="1"/>
      <c r="F335" s="1"/>
      <c r="G335" s="1"/>
      <c r="H335" s="1"/>
    </row>
    <row r="336" spans="2:13" x14ac:dyDescent="0.25">
      <c r="B336" s="217" t="s">
        <v>408</v>
      </c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9"/>
    </row>
    <row r="337" spans="2:13" x14ac:dyDescent="0.25">
      <c r="B337" s="122" t="s">
        <v>4616</v>
      </c>
      <c r="C337" s="220" t="s">
        <v>4617</v>
      </c>
      <c r="D337" s="220"/>
      <c r="E337" s="221" t="s">
        <v>691</v>
      </c>
      <c r="F337" s="221"/>
      <c r="G337" s="221" t="s">
        <v>692</v>
      </c>
      <c r="H337" s="221"/>
      <c r="I337" s="220" t="s">
        <v>4618</v>
      </c>
      <c r="J337" s="220"/>
      <c r="K337" s="220" t="s">
        <v>4619</v>
      </c>
      <c r="L337" s="220"/>
      <c r="M337" s="222"/>
    </row>
    <row r="338" spans="2:13" x14ac:dyDescent="0.25">
      <c r="B338" s="124" t="s">
        <v>4620</v>
      </c>
      <c r="C338" s="245" t="s">
        <v>4621</v>
      </c>
      <c r="D338" s="246"/>
      <c r="E338" s="248" t="s">
        <v>4622</v>
      </c>
      <c r="F338" s="248"/>
      <c r="G338" s="247" t="s">
        <v>4623</v>
      </c>
      <c r="H338" s="247"/>
      <c r="I338" s="248" t="s">
        <v>4624</v>
      </c>
      <c r="J338" s="248"/>
      <c r="K338" s="247" t="s">
        <v>4625</v>
      </c>
      <c r="L338" s="247"/>
      <c r="M338" s="249"/>
    </row>
    <row r="339" spans="2:13" ht="15.75" customHeight="1" x14ac:dyDescent="0.25">
      <c r="B339" s="168" t="s">
        <v>4626</v>
      </c>
      <c r="C339" s="257" t="s">
        <v>422</v>
      </c>
      <c r="D339" s="258"/>
      <c r="E339" s="259" t="s">
        <v>4627</v>
      </c>
      <c r="F339" s="259"/>
      <c r="G339" s="260" t="s">
        <v>4628</v>
      </c>
      <c r="H339" s="260"/>
      <c r="I339" s="260" t="s">
        <v>4629</v>
      </c>
      <c r="J339" s="260"/>
      <c r="K339" s="260" t="s">
        <v>575</v>
      </c>
      <c r="L339" s="260"/>
      <c r="M339" s="261"/>
    </row>
    <row r="341" spans="2:13" ht="23.25" x14ac:dyDescent="0.35">
      <c r="B341" s="29" t="s">
        <v>334</v>
      </c>
      <c r="C341" s="229" t="s">
        <v>118</v>
      </c>
      <c r="D341" s="229"/>
      <c r="E341" s="229"/>
      <c r="F341" s="229"/>
      <c r="G341" s="229"/>
      <c r="H341" s="229"/>
      <c r="I341" s="229"/>
      <c r="J341" s="229"/>
    </row>
    <row r="342" spans="2:13" ht="18.75" x14ac:dyDescent="0.3">
      <c r="B342" s="12" t="s">
        <v>335</v>
      </c>
      <c r="C342" s="283" t="s">
        <v>4630</v>
      </c>
      <c r="D342" s="283"/>
      <c r="F342" s="228" t="s">
        <v>427</v>
      </c>
      <c r="G342" s="228"/>
      <c r="H342" s="1" t="s">
        <v>3173</v>
      </c>
      <c r="L342" s="12" t="s">
        <v>339</v>
      </c>
      <c r="M342" s="6" t="s">
        <v>117</v>
      </c>
    </row>
    <row r="344" spans="2:13" x14ac:dyDescent="0.25">
      <c r="B344" s="2" t="s">
        <v>341</v>
      </c>
      <c r="C344" s="250" t="s">
        <v>805</v>
      </c>
      <c r="D344" s="250"/>
      <c r="E344" s="250" t="s">
        <v>342</v>
      </c>
      <c r="F344" s="250"/>
      <c r="G344" s="228" t="s">
        <v>345</v>
      </c>
      <c r="H344" s="228"/>
      <c r="I344" s="228"/>
      <c r="J344" s="228"/>
      <c r="K344" s="228"/>
      <c r="L344" s="228"/>
      <c r="M344" s="228"/>
    </row>
    <row r="345" spans="2:13" x14ac:dyDescent="0.25">
      <c r="C345" s="251"/>
      <c r="D345" s="251"/>
      <c r="E345" s="251"/>
      <c r="F345" s="251"/>
      <c r="G345" s="7"/>
      <c r="H345" s="7"/>
      <c r="I345" s="7"/>
      <c r="J345" s="7"/>
      <c r="K345" s="7"/>
    </row>
    <row r="346" spans="2:13" x14ac:dyDescent="0.25">
      <c r="B346" s="11" t="s">
        <v>4631</v>
      </c>
      <c r="C346" s="323" t="s">
        <v>4166</v>
      </c>
      <c r="D346" s="323" t="s">
        <v>744</v>
      </c>
      <c r="E346" s="252" t="s">
        <v>4632</v>
      </c>
      <c r="F346" s="252" t="s">
        <v>508</v>
      </c>
      <c r="G346" s="14" t="s">
        <v>4633</v>
      </c>
      <c r="H346" s="7"/>
      <c r="I346" s="7"/>
      <c r="J346" s="7"/>
      <c r="K346" s="7"/>
    </row>
    <row r="347" spans="2:13" x14ac:dyDescent="0.25">
      <c r="B347" s="11"/>
      <c r="C347" s="205"/>
      <c r="D347" s="205"/>
      <c r="E347" s="252"/>
      <c r="F347" s="252"/>
      <c r="G347" s="14" t="s">
        <v>4634</v>
      </c>
      <c r="H347" s="7"/>
      <c r="I347" s="7"/>
      <c r="J347" s="7"/>
      <c r="K347" s="7"/>
    </row>
    <row r="348" spans="2:13" x14ac:dyDescent="0.25">
      <c r="B348" s="1" t="s">
        <v>677</v>
      </c>
      <c r="C348" s="253" t="s">
        <v>789</v>
      </c>
      <c r="D348" s="253"/>
      <c r="E348" s="253" t="s">
        <v>399</v>
      </c>
      <c r="F348" s="253"/>
      <c r="G348" s="14" t="s">
        <v>4635</v>
      </c>
      <c r="H348" s="7"/>
      <c r="I348" s="7"/>
      <c r="J348" s="7"/>
      <c r="K348" s="7"/>
    </row>
    <row r="349" spans="2:13" x14ac:dyDescent="0.25">
      <c r="B349" s="1"/>
      <c r="C349" s="253"/>
      <c r="D349" s="253"/>
      <c r="E349" s="253"/>
      <c r="F349" s="253"/>
      <c r="G349" s="14" t="s">
        <v>4636</v>
      </c>
      <c r="H349" s="7"/>
      <c r="I349" s="7"/>
      <c r="J349" s="7"/>
      <c r="K349" s="7"/>
    </row>
    <row r="350" spans="2:13" x14ac:dyDescent="0.25">
      <c r="B350" s="11" t="s">
        <v>548</v>
      </c>
      <c r="C350" s="252" t="s">
        <v>3028</v>
      </c>
      <c r="D350" s="252"/>
      <c r="E350" s="252" t="s">
        <v>4637</v>
      </c>
      <c r="F350" s="252"/>
      <c r="G350" s="14" t="s">
        <v>4638</v>
      </c>
      <c r="H350" s="7"/>
      <c r="I350" s="7"/>
      <c r="J350" s="7"/>
      <c r="K350" s="7"/>
    </row>
    <row r="351" spans="2:13" ht="15.75" thickBot="1" x14ac:dyDescent="0.3">
      <c r="B351" s="11"/>
      <c r="C351" s="188"/>
      <c r="D351" s="188"/>
      <c r="E351" s="188"/>
      <c r="F351" s="188"/>
      <c r="G351" s="14" t="s">
        <v>4639</v>
      </c>
      <c r="H351" s="7"/>
      <c r="I351" s="7"/>
      <c r="J351" s="7"/>
      <c r="K351" s="7"/>
    </row>
    <row r="352" spans="2:13" x14ac:dyDescent="0.25">
      <c r="B352" s="217" t="s">
        <v>401</v>
      </c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9"/>
    </row>
    <row r="353" spans="2:13" x14ac:dyDescent="0.25">
      <c r="B353" s="3" t="s">
        <v>402</v>
      </c>
      <c r="C353" s="232" t="s">
        <v>403</v>
      </c>
      <c r="D353" s="232"/>
      <c r="E353" s="232" t="s">
        <v>467</v>
      </c>
      <c r="F353" s="232"/>
      <c r="G353" s="232" t="s">
        <v>405</v>
      </c>
      <c r="H353" s="232"/>
      <c r="I353" s="232" t="s">
        <v>1766</v>
      </c>
      <c r="J353" s="232"/>
      <c r="K353" s="234" t="s">
        <v>468</v>
      </c>
      <c r="L353" s="235"/>
      <c r="M353" s="236"/>
    </row>
    <row r="354" spans="2:13" ht="15.75" thickBot="1" x14ac:dyDescent="0.3">
      <c r="B354" s="5"/>
      <c r="C354" s="237"/>
      <c r="D354" s="238"/>
      <c r="E354" s="239"/>
      <c r="F354" s="238"/>
      <c r="G354" s="240"/>
      <c r="H354" s="240"/>
      <c r="I354" s="241">
        <v>0.6</v>
      </c>
      <c r="J354" s="241"/>
      <c r="K354" s="242"/>
      <c r="L354" s="243"/>
      <c r="M354" s="244"/>
    </row>
    <row r="355" spans="2:13" x14ac:dyDescent="0.25">
      <c r="B355" s="1"/>
      <c r="C355" s="1"/>
      <c r="D355" s="1"/>
      <c r="E355" s="1"/>
      <c r="F355" s="1"/>
      <c r="G355" s="1"/>
      <c r="H355" s="1"/>
    </row>
    <row r="356" spans="2:13" x14ac:dyDescent="0.25">
      <c r="B356" s="217" t="s">
        <v>408</v>
      </c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9"/>
    </row>
    <row r="357" spans="2:13" x14ac:dyDescent="0.25">
      <c r="B357" s="122" t="s">
        <v>4640</v>
      </c>
      <c r="C357" s="220" t="s">
        <v>4641</v>
      </c>
      <c r="D357" s="220"/>
      <c r="E357" s="221" t="s">
        <v>4642</v>
      </c>
      <c r="F357" s="221"/>
      <c r="G357" s="221" t="s">
        <v>692</v>
      </c>
      <c r="H357" s="221"/>
      <c r="I357" s="220" t="s">
        <v>4643</v>
      </c>
      <c r="J357" s="220"/>
      <c r="K357" s="220" t="s">
        <v>4644</v>
      </c>
      <c r="L357" s="220"/>
      <c r="M357" s="222"/>
    </row>
    <row r="358" spans="2:13" x14ac:dyDescent="0.25">
      <c r="B358" s="124" t="s">
        <v>3060</v>
      </c>
      <c r="C358" s="245" t="s">
        <v>4645</v>
      </c>
      <c r="D358" s="246"/>
      <c r="E358" s="247" t="s">
        <v>4646</v>
      </c>
      <c r="F358" s="247"/>
      <c r="G358" s="247" t="s">
        <v>4647</v>
      </c>
      <c r="H358" s="247"/>
      <c r="I358" s="248" t="s">
        <v>4220</v>
      </c>
      <c r="J358" s="248"/>
      <c r="K358" s="247" t="s">
        <v>4648</v>
      </c>
      <c r="L358" s="247"/>
      <c r="M358" s="249"/>
    </row>
    <row r="359" spans="2:13" x14ac:dyDescent="0.25">
      <c r="B359" s="168" t="s">
        <v>939</v>
      </c>
      <c r="C359" s="257" t="s">
        <v>422</v>
      </c>
      <c r="D359" s="258"/>
      <c r="E359" s="259" t="s">
        <v>4649</v>
      </c>
      <c r="F359" s="259"/>
      <c r="G359" s="260" t="s">
        <v>4650</v>
      </c>
      <c r="H359" s="260"/>
      <c r="I359" s="260" t="s">
        <v>4651</v>
      </c>
      <c r="J359" s="260"/>
      <c r="K359" s="260" t="s">
        <v>575</v>
      </c>
      <c r="L359" s="260"/>
      <c r="M359" s="261"/>
    </row>
    <row r="361" spans="2:13" ht="23.25" x14ac:dyDescent="0.35">
      <c r="B361" s="29" t="s">
        <v>334</v>
      </c>
      <c r="C361" s="229" t="s">
        <v>122</v>
      </c>
      <c r="D361" s="229"/>
      <c r="E361" s="229"/>
      <c r="F361" s="229"/>
      <c r="G361" s="229"/>
      <c r="H361" s="229"/>
      <c r="I361" s="229"/>
      <c r="J361" s="229"/>
      <c r="K361" s="229"/>
    </row>
    <row r="362" spans="2:13" ht="18.75" x14ac:dyDescent="0.3">
      <c r="B362" s="12" t="s">
        <v>335</v>
      </c>
      <c r="C362" s="195" t="s">
        <v>4284</v>
      </c>
      <c r="D362" s="228" t="s">
        <v>427</v>
      </c>
      <c r="E362" s="228"/>
      <c r="F362" s="1" t="s">
        <v>3173</v>
      </c>
      <c r="L362" s="12" t="s">
        <v>339</v>
      </c>
      <c r="M362" s="6" t="s">
        <v>121</v>
      </c>
    </row>
    <row r="364" spans="2:13" x14ac:dyDescent="0.25">
      <c r="B364" s="2" t="s">
        <v>341</v>
      </c>
      <c r="C364" s="250" t="s">
        <v>430</v>
      </c>
      <c r="D364" s="250"/>
      <c r="E364" s="250" t="s">
        <v>805</v>
      </c>
      <c r="F364" s="250"/>
      <c r="G364" s="228" t="s">
        <v>345</v>
      </c>
      <c r="H364" s="228"/>
      <c r="I364" s="228"/>
      <c r="J364" s="228"/>
      <c r="K364" s="228"/>
      <c r="L364" s="228"/>
      <c r="M364" s="228"/>
    </row>
    <row r="365" spans="2:13" x14ac:dyDescent="0.25">
      <c r="C365" s="251"/>
      <c r="D365" s="251"/>
      <c r="E365" s="251"/>
      <c r="F365" s="251"/>
      <c r="J365" s="7"/>
      <c r="K365" s="7"/>
    </row>
    <row r="366" spans="2:13" x14ac:dyDescent="0.25">
      <c r="B366" s="11" t="s">
        <v>4500</v>
      </c>
      <c r="C366" s="231" t="s">
        <v>851</v>
      </c>
      <c r="D366" s="231"/>
      <c r="E366" s="230" t="s">
        <v>967</v>
      </c>
      <c r="F366" s="230"/>
      <c r="G366" s="14" t="s">
        <v>4652</v>
      </c>
      <c r="J366" s="14"/>
      <c r="K366" s="7"/>
    </row>
    <row r="367" spans="2:13" x14ac:dyDescent="0.25">
      <c r="B367" s="11" t="s">
        <v>4653</v>
      </c>
      <c r="C367" s="185"/>
      <c r="D367" s="185"/>
      <c r="E367" s="185"/>
      <c r="F367" s="185"/>
      <c r="G367" s="14" t="s">
        <v>4654</v>
      </c>
      <c r="J367" s="14"/>
      <c r="K367" s="7"/>
    </row>
    <row r="368" spans="2:13" x14ac:dyDescent="0.25">
      <c r="B368" s="1" t="s">
        <v>4655</v>
      </c>
      <c r="C368" s="296" t="s">
        <v>851</v>
      </c>
      <c r="D368" s="296"/>
      <c r="E368" s="283" t="s">
        <v>967</v>
      </c>
      <c r="F368" s="283"/>
      <c r="J368" s="14"/>
      <c r="K368" s="7"/>
    </row>
    <row r="369" spans="2:11" x14ac:dyDescent="0.25">
      <c r="B369" s="1" t="s">
        <v>4656</v>
      </c>
      <c r="C369" s="195"/>
      <c r="D369" s="195"/>
      <c r="E369" s="195"/>
      <c r="F369" s="195"/>
      <c r="J369" s="14"/>
      <c r="K369" s="7"/>
    </row>
    <row r="370" spans="2:11" x14ac:dyDescent="0.25">
      <c r="B370" s="11" t="s">
        <v>4657</v>
      </c>
      <c r="C370" s="231" t="s">
        <v>851</v>
      </c>
      <c r="D370" s="231"/>
      <c r="E370" s="230" t="s">
        <v>967</v>
      </c>
      <c r="F370" s="230"/>
      <c r="J370" s="14"/>
      <c r="K370" s="7"/>
    </row>
    <row r="371" spans="2:11" x14ac:dyDescent="0.25">
      <c r="B371" s="11" t="s">
        <v>2644</v>
      </c>
      <c r="C371" s="185"/>
      <c r="D371" s="185"/>
      <c r="E371" s="185"/>
      <c r="F371" s="185"/>
      <c r="J371" s="14"/>
      <c r="K371" s="7"/>
    </row>
    <row r="372" spans="2:11" x14ac:dyDescent="0.25">
      <c r="B372" s="1" t="s">
        <v>4658</v>
      </c>
      <c r="C372" s="296" t="s">
        <v>1042</v>
      </c>
      <c r="D372" s="296"/>
      <c r="E372" s="283" t="s">
        <v>1031</v>
      </c>
      <c r="F372" s="283"/>
      <c r="J372" s="14"/>
      <c r="K372" s="7"/>
    </row>
    <row r="373" spans="2:11" x14ac:dyDescent="0.25">
      <c r="B373" s="1" t="s">
        <v>4659</v>
      </c>
      <c r="C373" s="195"/>
      <c r="D373" s="195"/>
      <c r="E373" s="195"/>
      <c r="F373" s="195"/>
      <c r="G373" s="7"/>
      <c r="H373" s="7"/>
      <c r="I373" s="7"/>
    </row>
    <row r="374" spans="2:11" x14ac:dyDescent="0.25">
      <c r="B374" s="11" t="s">
        <v>4660</v>
      </c>
      <c r="C374" s="230" t="s">
        <v>4661</v>
      </c>
      <c r="D374" s="230"/>
      <c r="E374" s="230" t="s">
        <v>4662</v>
      </c>
      <c r="F374" s="230"/>
      <c r="G374" s="7"/>
      <c r="H374" s="7"/>
      <c r="I374" s="7"/>
    </row>
    <row r="375" spans="2:11" x14ac:dyDescent="0.25">
      <c r="B375" s="11"/>
      <c r="C375" s="185"/>
      <c r="D375" s="185"/>
      <c r="E375" s="185"/>
      <c r="F375" s="185"/>
      <c r="G375" s="7"/>
      <c r="H375" s="7"/>
      <c r="I375" s="7"/>
    </row>
    <row r="376" spans="2:11" x14ac:dyDescent="0.25">
      <c r="B376" s="1" t="s">
        <v>4663</v>
      </c>
      <c r="C376" s="283" t="s">
        <v>1661</v>
      </c>
      <c r="D376" s="283"/>
      <c r="E376" s="283" t="s">
        <v>966</v>
      </c>
      <c r="F376" s="283"/>
      <c r="G376" s="7"/>
      <c r="H376" s="7"/>
      <c r="I376" s="7"/>
    </row>
    <row r="377" spans="2:11" x14ac:dyDescent="0.25">
      <c r="B377" s="1"/>
      <c r="C377" s="195"/>
      <c r="D377" s="195"/>
      <c r="E377" s="195"/>
      <c r="F377" s="195"/>
      <c r="G377" s="7"/>
      <c r="H377" s="7"/>
      <c r="I377" s="7"/>
    </row>
    <row r="378" spans="2:11" x14ac:dyDescent="0.25">
      <c r="B378" s="11" t="s">
        <v>4664</v>
      </c>
      <c r="C378" s="230" t="s">
        <v>1444</v>
      </c>
      <c r="D378" s="230"/>
      <c r="E378" s="230" t="s">
        <v>4665</v>
      </c>
      <c r="F378" s="230"/>
      <c r="G378" s="7"/>
      <c r="H378" s="7"/>
      <c r="I378" s="7"/>
    </row>
    <row r="379" spans="2:11" x14ac:dyDescent="0.25">
      <c r="B379" s="11"/>
      <c r="C379" s="185"/>
      <c r="D379" s="185"/>
      <c r="E379" s="185"/>
      <c r="F379" s="185"/>
    </row>
    <row r="380" spans="2:11" x14ac:dyDescent="0.25">
      <c r="B380" s="1" t="s">
        <v>4666</v>
      </c>
      <c r="C380" s="283" t="s">
        <v>4667</v>
      </c>
      <c r="D380" s="283"/>
      <c r="E380" s="283" t="s">
        <v>491</v>
      </c>
      <c r="F380" s="283"/>
    </row>
    <row r="381" spans="2:11" x14ac:dyDescent="0.25">
      <c r="B381" s="1"/>
      <c r="C381" s="195"/>
      <c r="D381" s="195"/>
      <c r="E381" s="195"/>
      <c r="F381" s="195"/>
    </row>
    <row r="382" spans="2:11" x14ac:dyDescent="0.25">
      <c r="B382" s="11" t="s">
        <v>4668</v>
      </c>
      <c r="C382" s="230" t="s">
        <v>4669</v>
      </c>
      <c r="D382" s="230"/>
      <c r="E382" s="230" t="s">
        <v>4046</v>
      </c>
      <c r="F382" s="230"/>
    </row>
    <row r="383" spans="2:11" x14ac:dyDescent="0.25">
      <c r="B383" s="11"/>
      <c r="C383" s="185"/>
      <c r="D383" s="185"/>
      <c r="E383" s="185"/>
      <c r="F383" s="185"/>
    </row>
    <row r="384" spans="2:11" x14ac:dyDescent="0.25">
      <c r="B384" s="1" t="s">
        <v>2066</v>
      </c>
      <c r="C384" s="283" t="s">
        <v>4667</v>
      </c>
      <c r="D384" s="283"/>
      <c r="E384" s="283" t="s">
        <v>491</v>
      </c>
      <c r="F384" s="283"/>
    </row>
    <row r="385" spans="2:13" x14ac:dyDescent="0.25">
      <c r="B385" s="1"/>
      <c r="C385" s="195"/>
      <c r="D385" s="195"/>
      <c r="E385" s="195"/>
      <c r="F385" s="195"/>
    </row>
    <row r="386" spans="2:13" x14ac:dyDescent="0.25">
      <c r="B386" s="11" t="s">
        <v>2108</v>
      </c>
      <c r="C386" s="230" t="s">
        <v>4670</v>
      </c>
      <c r="D386" s="230"/>
      <c r="E386" s="230" t="s">
        <v>4667</v>
      </c>
      <c r="F386" s="230"/>
    </row>
    <row r="387" spans="2:13" x14ac:dyDescent="0.25">
      <c r="B387" s="11"/>
      <c r="C387" s="185"/>
      <c r="D387" s="185"/>
      <c r="E387" s="185"/>
      <c r="F387" s="185"/>
    </row>
    <row r="388" spans="2:13" x14ac:dyDescent="0.25">
      <c r="B388" s="1" t="s">
        <v>518</v>
      </c>
      <c r="C388" s="283" t="s">
        <v>516</v>
      </c>
      <c r="D388" s="283"/>
      <c r="E388" s="283" t="s">
        <v>513</v>
      </c>
      <c r="F388" s="283"/>
    </row>
    <row r="389" spans="2:13" x14ac:dyDescent="0.25">
      <c r="B389" s="1"/>
      <c r="C389" s="1"/>
      <c r="D389" s="1"/>
      <c r="E389" s="1"/>
      <c r="F389" s="1"/>
    </row>
    <row r="390" spans="2:13" x14ac:dyDescent="0.25">
      <c r="B390" s="11" t="s">
        <v>4671</v>
      </c>
      <c r="C390" s="230" t="s">
        <v>4672</v>
      </c>
      <c r="D390" s="230"/>
      <c r="E390" s="230" t="s">
        <v>4672</v>
      </c>
      <c r="F390" s="230"/>
    </row>
    <row r="391" spans="2:13" ht="15.75" thickBot="1" x14ac:dyDescent="0.3">
      <c r="B391" s="11"/>
      <c r="C391" s="11"/>
      <c r="D391" s="11"/>
      <c r="E391" s="11"/>
      <c r="F391" s="11"/>
    </row>
    <row r="392" spans="2:13" x14ac:dyDescent="0.25">
      <c r="B392" s="217" t="s">
        <v>401</v>
      </c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9"/>
    </row>
    <row r="393" spans="2:13" x14ac:dyDescent="0.25">
      <c r="B393" s="3" t="s">
        <v>402</v>
      </c>
      <c r="C393" s="232" t="s">
        <v>403</v>
      </c>
      <c r="D393" s="232"/>
      <c r="E393" s="232" t="s">
        <v>467</v>
      </c>
      <c r="F393" s="232"/>
      <c r="G393" s="232" t="s">
        <v>405</v>
      </c>
      <c r="H393" s="232"/>
      <c r="I393" s="232" t="s">
        <v>406</v>
      </c>
      <c r="J393" s="232"/>
      <c r="K393" s="234" t="s">
        <v>468</v>
      </c>
      <c r="L393" s="235"/>
      <c r="M393" s="236"/>
    </row>
    <row r="394" spans="2:13" ht="15.75" thickBot="1" x14ac:dyDescent="0.3">
      <c r="B394" s="5">
        <v>2.2454999999999998</v>
      </c>
      <c r="C394" s="237"/>
      <c r="D394" s="238"/>
      <c r="E394" s="239">
        <v>0.25</v>
      </c>
      <c r="F394" s="238"/>
      <c r="G394" s="240"/>
      <c r="H394" s="240"/>
      <c r="I394" s="241"/>
      <c r="J394" s="241"/>
      <c r="K394" s="242"/>
      <c r="L394" s="243"/>
      <c r="M394" s="244"/>
    </row>
    <row r="395" spans="2:13" ht="15.75" thickBot="1" x14ac:dyDescent="0.3">
      <c r="B395" s="1"/>
      <c r="C395" s="1"/>
      <c r="D395" s="1"/>
      <c r="E395" s="1"/>
      <c r="F395" s="1"/>
      <c r="G395" s="1"/>
      <c r="H395" s="1"/>
    </row>
    <row r="396" spans="2:13" x14ac:dyDescent="0.25">
      <c r="B396" s="217" t="s">
        <v>408</v>
      </c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9"/>
    </row>
    <row r="397" spans="2:13" x14ac:dyDescent="0.25">
      <c r="B397" s="3" t="s">
        <v>4673</v>
      </c>
      <c r="C397" s="232" t="s">
        <v>3889</v>
      </c>
      <c r="D397" s="232"/>
      <c r="E397" s="233" t="s">
        <v>4674</v>
      </c>
      <c r="F397" s="233"/>
      <c r="G397" s="233" t="s">
        <v>692</v>
      </c>
      <c r="H397" s="233"/>
      <c r="I397" s="233" t="s">
        <v>3164</v>
      </c>
      <c r="J397" s="233"/>
      <c r="K397" s="232" t="s">
        <v>4675</v>
      </c>
      <c r="L397" s="232"/>
      <c r="M397" s="269"/>
    </row>
    <row r="398" spans="2:13" ht="15.75" thickBot="1" x14ac:dyDescent="0.3">
      <c r="B398" s="5" t="s">
        <v>3166</v>
      </c>
      <c r="C398" s="240" t="s">
        <v>4676</v>
      </c>
      <c r="D398" s="240"/>
      <c r="E398" s="266" t="s">
        <v>2777</v>
      </c>
      <c r="F398" s="266"/>
      <c r="G398" s="239" t="s">
        <v>1997</v>
      </c>
      <c r="H398" s="238"/>
      <c r="I398" s="237" t="s">
        <v>2202</v>
      </c>
      <c r="J398" s="238"/>
      <c r="K398" s="240" t="s">
        <v>2778</v>
      </c>
      <c r="L398" s="240"/>
      <c r="M398" s="267"/>
    </row>
    <row r="400" spans="2:13" ht="23.25" x14ac:dyDescent="0.35">
      <c r="B400" s="29" t="s">
        <v>334</v>
      </c>
      <c r="C400" s="229" t="s">
        <v>126</v>
      </c>
      <c r="D400" s="229"/>
      <c r="E400" s="229"/>
      <c r="F400" s="229"/>
      <c r="G400" s="229"/>
      <c r="H400" s="229"/>
      <c r="I400" s="229"/>
      <c r="J400" s="229"/>
      <c r="K400" s="229"/>
    </row>
    <row r="401" spans="2:13" ht="18.75" x14ac:dyDescent="0.3">
      <c r="B401" s="12" t="s">
        <v>335</v>
      </c>
      <c r="C401" s="195" t="s">
        <v>4284</v>
      </c>
      <c r="D401" s="228" t="s">
        <v>427</v>
      </c>
      <c r="E401" s="228"/>
      <c r="F401" s="1" t="s">
        <v>3927</v>
      </c>
      <c r="L401" s="12" t="s">
        <v>339</v>
      </c>
      <c r="M401" s="6" t="s">
        <v>125</v>
      </c>
    </row>
    <row r="403" spans="2:13" x14ac:dyDescent="0.25">
      <c r="B403" s="2" t="s">
        <v>341</v>
      </c>
      <c r="C403" s="250" t="s">
        <v>430</v>
      </c>
      <c r="D403" s="250"/>
      <c r="E403" s="250" t="s">
        <v>805</v>
      </c>
      <c r="F403" s="250"/>
      <c r="G403" s="228" t="s">
        <v>345</v>
      </c>
      <c r="H403" s="228"/>
      <c r="I403" s="228"/>
      <c r="J403" s="228"/>
      <c r="K403" s="228"/>
      <c r="L403" s="228"/>
      <c r="M403" s="228"/>
    </row>
    <row r="404" spans="2:13" x14ac:dyDescent="0.25">
      <c r="C404" s="251"/>
      <c r="D404" s="251"/>
      <c r="E404" s="251"/>
      <c r="F404" s="251"/>
      <c r="J404" s="7"/>
      <c r="K404" s="7"/>
    </row>
    <row r="405" spans="2:13" x14ac:dyDescent="0.25">
      <c r="B405" s="11" t="s">
        <v>4677</v>
      </c>
      <c r="C405" s="231" t="s">
        <v>789</v>
      </c>
      <c r="D405" s="231"/>
      <c r="E405" s="230" t="s">
        <v>1497</v>
      </c>
      <c r="F405" s="230" t="s">
        <v>1497</v>
      </c>
      <c r="G405" s="14" t="s">
        <v>4678</v>
      </c>
      <c r="J405" s="14"/>
      <c r="K405" s="7"/>
    </row>
    <row r="406" spans="2:13" x14ac:dyDescent="0.25">
      <c r="B406" s="11"/>
      <c r="C406" s="185"/>
      <c r="D406" s="185"/>
      <c r="E406" s="185"/>
      <c r="F406" s="185"/>
      <c r="G406" s="14" t="s">
        <v>4679</v>
      </c>
      <c r="J406" s="14"/>
      <c r="K406" s="7"/>
    </row>
    <row r="407" spans="2:13" x14ac:dyDescent="0.25">
      <c r="B407" s="1" t="s">
        <v>4680</v>
      </c>
      <c r="C407" s="296" t="s">
        <v>866</v>
      </c>
      <c r="D407" s="296"/>
      <c r="E407" s="283" t="s">
        <v>4251</v>
      </c>
      <c r="F407" s="283" t="s">
        <v>4251</v>
      </c>
      <c r="G407" s="14" t="s">
        <v>4681</v>
      </c>
      <c r="J407" s="14"/>
      <c r="K407" s="7"/>
    </row>
    <row r="408" spans="2:13" x14ac:dyDescent="0.25">
      <c r="B408" s="1" t="s">
        <v>4682</v>
      </c>
      <c r="C408" s="195"/>
      <c r="D408" s="195"/>
      <c r="E408" s="195"/>
      <c r="F408" s="195"/>
      <c r="J408" s="14"/>
      <c r="K408" s="7"/>
    </row>
    <row r="409" spans="2:13" x14ac:dyDescent="0.25">
      <c r="B409" s="11" t="s">
        <v>4683</v>
      </c>
      <c r="C409" s="231" t="s">
        <v>465</v>
      </c>
      <c r="D409" s="231"/>
      <c r="E409" s="230" t="s">
        <v>466</v>
      </c>
      <c r="F409" s="230" t="s">
        <v>466</v>
      </c>
      <c r="J409" s="14"/>
      <c r="K409" s="7"/>
    </row>
    <row r="410" spans="2:13" x14ac:dyDescent="0.25">
      <c r="B410" s="11"/>
      <c r="C410" s="185"/>
      <c r="D410" s="185"/>
      <c r="E410" s="185"/>
      <c r="F410" s="185"/>
      <c r="J410" s="14"/>
      <c r="K410" s="7"/>
    </row>
    <row r="411" spans="2:13" x14ac:dyDescent="0.25">
      <c r="B411" s="1" t="s">
        <v>4248</v>
      </c>
      <c r="C411" s="296" t="s">
        <v>1654</v>
      </c>
      <c r="D411" s="296"/>
      <c r="E411" s="283" t="s">
        <v>1654</v>
      </c>
      <c r="F411" s="283" t="s">
        <v>1654</v>
      </c>
      <c r="J411" s="14"/>
      <c r="K411" s="7"/>
    </row>
    <row r="412" spans="2:13" x14ac:dyDescent="0.25">
      <c r="B412" s="1"/>
      <c r="C412" s="195"/>
      <c r="D412" s="195"/>
      <c r="E412" s="195"/>
      <c r="F412" s="195"/>
      <c r="G412" s="7"/>
      <c r="H412" s="7"/>
      <c r="I412" s="7"/>
    </row>
    <row r="413" spans="2:13" x14ac:dyDescent="0.25">
      <c r="B413" s="11" t="s">
        <v>4209</v>
      </c>
      <c r="C413" s="230" t="s">
        <v>392</v>
      </c>
      <c r="D413" s="230"/>
      <c r="E413" s="230" t="s">
        <v>789</v>
      </c>
      <c r="F413" s="230" t="s">
        <v>789</v>
      </c>
      <c r="G413" s="7"/>
      <c r="H413" s="7"/>
      <c r="I413" s="7"/>
    </row>
    <row r="414" spans="2:13" x14ac:dyDescent="0.25">
      <c r="B414" s="11"/>
      <c r="C414" s="185"/>
      <c r="D414" s="185"/>
      <c r="E414" s="185"/>
      <c r="F414" s="185"/>
      <c r="G414" s="7"/>
      <c r="H414" s="7"/>
      <c r="I414" s="7"/>
    </row>
    <row r="415" spans="2:13" x14ac:dyDescent="0.25">
      <c r="B415" s="1" t="s">
        <v>4684</v>
      </c>
      <c r="C415" s="283" t="s">
        <v>866</v>
      </c>
      <c r="D415" s="283"/>
      <c r="E415" s="283" t="s">
        <v>4251</v>
      </c>
      <c r="F415" s="283" t="s">
        <v>4251</v>
      </c>
      <c r="G415" s="7"/>
      <c r="H415" s="7"/>
      <c r="I415" s="7"/>
    </row>
    <row r="416" spans="2:13" x14ac:dyDescent="0.25">
      <c r="B416" s="1"/>
      <c r="C416" s="195"/>
      <c r="D416" s="195"/>
      <c r="E416" s="195"/>
      <c r="F416" s="195"/>
      <c r="G416" s="7"/>
      <c r="H416" s="7"/>
      <c r="I416" s="7"/>
    </row>
    <row r="417" spans="2:13" x14ac:dyDescent="0.25">
      <c r="B417" s="11" t="s">
        <v>4685</v>
      </c>
      <c r="C417" s="230" t="s">
        <v>508</v>
      </c>
      <c r="D417" s="230"/>
      <c r="E417" s="230" t="s">
        <v>390</v>
      </c>
      <c r="F417" s="230"/>
      <c r="G417" s="7"/>
      <c r="H417" s="7"/>
      <c r="I417" s="7"/>
    </row>
    <row r="418" spans="2:13" ht="15.75" thickBot="1" x14ac:dyDescent="0.3">
      <c r="B418" s="11"/>
      <c r="C418" s="185"/>
      <c r="D418" s="185"/>
      <c r="E418" s="185"/>
      <c r="F418" s="185"/>
    </row>
    <row r="419" spans="2:13" x14ac:dyDescent="0.25">
      <c r="B419" s="217" t="s">
        <v>401</v>
      </c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9"/>
    </row>
    <row r="420" spans="2:13" x14ac:dyDescent="0.25">
      <c r="B420" s="3" t="s">
        <v>402</v>
      </c>
      <c r="C420" s="232" t="s">
        <v>403</v>
      </c>
      <c r="D420" s="232"/>
      <c r="E420" s="232" t="s">
        <v>467</v>
      </c>
      <c r="F420" s="232"/>
      <c r="G420" s="232" t="s">
        <v>405</v>
      </c>
      <c r="H420" s="232"/>
      <c r="I420" s="232" t="s">
        <v>406</v>
      </c>
      <c r="J420" s="232"/>
      <c r="K420" s="234" t="s">
        <v>468</v>
      </c>
      <c r="L420" s="235"/>
      <c r="M420" s="236"/>
    </row>
    <row r="421" spans="2:13" ht="15.75" thickBot="1" x14ac:dyDescent="0.3">
      <c r="B421" s="5"/>
      <c r="C421" s="237"/>
      <c r="D421" s="238"/>
      <c r="E421" s="239">
        <v>1.03125</v>
      </c>
      <c r="F421" s="238"/>
      <c r="G421" s="240"/>
      <c r="H421" s="240"/>
      <c r="I421" s="241"/>
      <c r="J421" s="241"/>
      <c r="K421" s="242"/>
      <c r="L421" s="243"/>
      <c r="M421" s="244"/>
    </row>
    <row r="422" spans="2:13" ht="15.75" thickBot="1" x14ac:dyDescent="0.3">
      <c r="B422" s="1"/>
      <c r="C422" s="1"/>
      <c r="D422" s="1"/>
      <c r="E422" s="1"/>
      <c r="F422" s="1"/>
      <c r="G422" s="1"/>
      <c r="H422" s="1"/>
    </row>
    <row r="423" spans="2:13" x14ac:dyDescent="0.25">
      <c r="B423" s="217" t="s">
        <v>408</v>
      </c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9"/>
    </row>
    <row r="424" spans="2:13" x14ac:dyDescent="0.25">
      <c r="B424" s="3" t="s">
        <v>4686</v>
      </c>
      <c r="C424" s="232" t="s">
        <v>931</v>
      </c>
      <c r="D424" s="232"/>
      <c r="E424" s="233" t="s">
        <v>932</v>
      </c>
      <c r="F424" s="233"/>
      <c r="G424" s="233" t="s">
        <v>692</v>
      </c>
      <c r="H424" s="233"/>
      <c r="I424" s="233" t="s">
        <v>4687</v>
      </c>
      <c r="J424" s="233"/>
      <c r="K424" s="232" t="s">
        <v>4688</v>
      </c>
      <c r="L424" s="232"/>
      <c r="M424" s="269"/>
    </row>
    <row r="425" spans="2:13" ht="15.75" thickBot="1" x14ac:dyDescent="0.3">
      <c r="B425" s="5" t="s">
        <v>3609</v>
      </c>
      <c r="C425" s="240" t="s">
        <v>3974</v>
      </c>
      <c r="D425" s="240"/>
      <c r="E425" s="266" t="s">
        <v>4379</v>
      </c>
      <c r="F425" s="266"/>
      <c r="G425" s="239" t="s">
        <v>2775</v>
      </c>
      <c r="H425" s="238"/>
      <c r="I425" s="237" t="s">
        <v>2776</v>
      </c>
      <c r="J425" s="238"/>
      <c r="K425" s="240" t="s">
        <v>2778</v>
      </c>
      <c r="L425" s="240"/>
      <c r="M425" s="267"/>
    </row>
    <row r="427" spans="2:13" ht="23.25" x14ac:dyDescent="0.35">
      <c r="B427" s="29" t="s">
        <v>334</v>
      </c>
      <c r="C427" s="229" t="s">
        <v>8</v>
      </c>
      <c r="D427" s="229"/>
      <c r="E427" s="229"/>
      <c r="F427" s="229"/>
      <c r="G427" s="229"/>
      <c r="H427" s="229"/>
      <c r="I427" s="229"/>
      <c r="J427" s="229"/>
      <c r="K427" s="229"/>
    </row>
    <row r="428" spans="2:13" ht="18" x14ac:dyDescent="0.25">
      <c r="B428" s="12" t="s">
        <v>335</v>
      </c>
      <c r="C428" s="195" t="s">
        <v>4284</v>
      </c>
      <c r="D428" s="228" t="s">
        <v>427</v>
      </c>
      <c r="E428" s="228"/>
      <c r="F428" s="1" t="s">
        <v>3173</v>
      </c>
      <c r="L428" s="12" t="s">
        <v>339</v>
      </c>
      <c r="M428" s="78" t="s">
        <v>4689</v>
      </c>
    </row>
    <row r="430" spans="2:13" x14ac:dyDescent="0.25">
      <c r="B430" s="2" t="s">
        <v>341</v>
      </c>
      <c r="C430" s="250" t="s">
        <v>430</v>
      </c>
      <c r="D430" s="250"/>
      <c r="E430" s="250" t="s">
        <v>805</v>
      </c>
      <c r="F430" s="250"/>
      <c r="G430" s="228" t="s">
        <v>345</v>
      </c>
      <c r="H430" s="228"/>
      <c r="I430" s="228"/>
      <c r="J430" s="228"/>
      <c r="K430" s="228"/>
      <c r="L430" s="228"/>
      <c r="M430" s="228"/>
    </row>
    <row r="431" spans="2:13" x14ac:dyDescent="0.25">
      <c r="C431" s="251"/>
      <c r="D431" s="251"/>
      <c r="E431" s="251"/>
      <c r="F431" s="251"/>
      <c r="J431" s="7"/>
      <c r="K431" s="7"/>
    </row>
    <row r="432" spans="2:13" x14ac:dyDescent="0.25">
      <c r="B432" s="11" t="s">
        <v>1549</v>
      </c>
      <c r="C432" s="336" t="s">
        <v>4690</v>
      </c>
      <c r="D432" s="336" t="s">
        <v>4690</v>
      </c>
      <c r="E432" s="284" t="s">
        <v>4691</v>
      </c>
      <c r="F432" s="284" t="s">
        <v>4691</v>
      </c>
      <c r="G432" s="14" t="s">
        <v>4692</v>
      </c>
      <c r="J432" s="14"/>
      <c r="K432" s="7"/>
    </row>
    <row r="433" spans="2:13" x14ac:dyDescent="0.25">
      <c r="B433" s="11"/>
      <c r="C433" s="185"/>
      <c r="D433" s="185"/>
      <c r="E433" s="185"/>
      <c r="F433" s="185"/>
      <c r="G433" s="14" t="s">
        <v>4693</v>
      </c>
      <c r="J433" s="14"/>
      <c r="K433" s="7"/>
    </row>
    <row r="434" spans="2:13" x14ac:dyDescent="0.25">
      <c r="B434" s="1" t="s">
        <v>4694</v>
      </c>
      <c r="C434" s="296" t="s">
        <v>1354</v>
      </c>
      <c r="D434" s="296" t="s">
        <v>1354</v>
      </c>
      <c r="E434" s="283" t="s">
        <v>1134</v>
      </c>
      <c r="F434" s="283" t="s">
        <v>1134</v>
      </c>
      <c r="G434" s="14" t="s">
        <v>4695</v>
      </c>
      <c r="J434" s="14"/>
      <c r="K434" s="7"/>
    </row>
    <row r="435" spans="2:13" x14ac:dyDescent="0.25">
      <c r="B435" s="1"/>
      <c r="C435" s="195"/>
      <c r="D435" s="195"/>
      <c r="E435" s="195"/>
      <c r="F435" s="195"/>
      <c r="G435" s="14" t="s">
        <v>2276</v>
      </c>
      <c r="J435" s="14"/>
      <c r="K435" s="7"/>
    </row>
    <row r="436" spans="2:13" x14ac:dyDescent="0.25">
      <c r="B436" s="11" t="s">
        <v>4696</v>
      </c>
      <c r="C436" s="231" t="s">
        <v>4697</v>
      </c>
      <c r="D436" s="231" t="s">
        <v>4697</v>
      </c>
      <c r="E436" s="230" t="s">
        <v>4697</v>
      </c>
      <c r="F436" s="230" t="s">
        <v>4697</v>
      </c>
      <c r="J436" s="14"/>
      <c r="K436" s="7"/>
    </row>
    <row r="437" spans="2:13" x14ac:dyDescent="0.25">
      <c r="B437" s="11"/>
      <c r="C437" s="185"/>
      <c r="D437" s="185"/>
      <c r="E437" s="185"/>
      <c r="F437" s="185"/>
      <c r="J437" s="14"/>
      <c r="K437" s="7"/>
    </row>
    <row r="438" spans="2:13" x14ac:dyDescent="0.25">
      <c r="B438" s="1" t="s">
        <v>4698</v>
      </c>
      <c r="C438" s="296" t="s">
        <v>1674</v>
      </c>
      <c r="D438" s="296" t="s">
        <v>1674</v>
      </c>
      <c r="E438" s="283" t="s">
        <v>400</v>
      </c>
      <c r="F438" s="283" t="s">
        <v>400</v>
      </c>
      <c r="J438" s="14"/>
      <c r="K438" s="7"/>
    </row>
    <row r="439" spans="2:13" ht="15.75" thickBot="1" x14ac:dyDescent="0.3">
      <c r="B439" s="1"/>
      <c r="C439" s="195"/>
      <c r="D439" s="195"/>
      <c r="E439" s="195"/>
      <c r="F439" s="195"/>
      <c r="G439" s="7"/>
      <c r="H439" s="7"/>
      <c r="I439" s="7"/>
    </row>
    <row r="440" spans="2:13" x14ac:dyDescent="0.25">
      <c r="B440" s="217" t="s">
        <v>401</v>
      </c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9"/>
    </row>
    <row r="441" spans="2:13" x14ac:dyDescent="0.25">
      <c r="B441" s="3" t="s">
        <v>402</v>
      </c>
      <c r="C441" s="232" t="s">
        <v>403</v>
      </c>
      <c r="D441" s="232"/>
      <c r="E441" s="232" t="s">
        <v>467</v>
      </c>
      <c r="F441" s="232"/>
      <c r="G441" s="232" t="s">
        <v>405</v>
      </c>
      <c r="H441" s="232"/>
      <c r="I441" s="232" t="s">
        <v>406</v>
      </c>
      <c r="J441" s="232"/>
      <c r="K441" s="234" t="s">
        <v>468</v>
      </c>
      <c r="L441" s="235"/>
      <c r="M441" s="236"/>
    </row>
    <row r="442" spans="2:13" ht="15.75" thickBot="1" x14ac:dyDescent="0.3">
      <c r="B442" s="5">
        <v>0.13</v>
      </c>
      <c r="C442" s="237"/>
      <c r="D442" s="238"/>
      <c r="E442" s="239">
        <v>0.25</v>
      </c>
      <c r="F442" s="238"/>
      <c r="G442" s="240"/>
      <c r="H442" s="240"/>
      <c r="I442" s="241"/>
      <c r="J442" s="241"/>
      <c r="K442" s="242"/>
      <c r="L442" s="243"/>
      <c r="M442" s="244"/>
    </row>
    <row r="443" spans="2:13" ht="15.75" thickBot="1" x14ac:dyDescent="0.3">
      <c r="B443" s="1"/>
      <c r="C443" s="1"/>
      <c r="D443" s="1"/>
      <c r="E443" s="1"/>
      <c r="F443" s="1"/>
      <c r="G443" s="1"/>
      <c r="H443" s="1"/>
    </row>
    <row r="444" spans="2:13" x14ac:dyDescent="0.25">
      <c r="B444" s="217" t="s">
        <v>408</v>
      </c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9"/>
    </row>
    <row r="445" spans="2:13" x14ac:dyDescent="0.25">
      <c r="B445" s="3" t="s">
        <v>1726</v>
      </c>
      <c r="C445" s="232" t="s">
        <v>4699</v>
      </c>
      <c r="D445" s="232"/>
      <c r="E445" s="232" t="s">
        <v>3605</v>
      </c>
      <c r="F445" s="232"/>
      <c r="G445" s="232" t="s">
        <v>3970</v>
      </c>
      <c r="H445" s="232"/>
      <c r="I445" s="232" t="s">
        <v>4700</v>
      </c>
      <c r="J445" s="232"/>
      <c r="K445" s="232" t="s">
        <v>4701</v>
      </c>
      <c r="L445" s="232"/>
      <c r="M445" s="269"/>
    </row>
    <row r="446" spans="2:13" ht="15.75" thickBot="1" x14ac:dyDescent="0.3">
      <c r="B446" s="5" t="s">
        <v>1332</v>
      </c>
      <c r="C446" s="240" t="s">
        <v>4702</v>
      </c>
      <c r="D446" s="240"/>
      <c r="E446" s="240" t="s">
        <v>2199</v>
      </c>
      <c r="F446" s="240"/>
      <c r="G446" s="239" t="s">
        <v>2775</v>
      </c>
      <c r="H446" s="238"/>
      <c r="I446" s="237" t="s">
        <v>2776</v>
      </c>
      <c r="J446" s="238"/>
      <c r="K446" s="240" t="s">
        <v>2778</v>
      </c>
      <c r="L446" s="240"/>
      <c r="M446" s="267"/>
    </row>
    <row r="448" spans="2:13" ht="23.25" x14ac:dyDescent="0.35">
      <c r="B448" s="29" t="s">
        <v>334</v>
      </c>
      <c r="C448" s="229" t="s">
        <v>13</v>
      </c>
      <c r="D448" s="229"/>
      <c r="E448" s="229"/>
      <c r="F448" s="229"/>
      <c r="G448" s="229"/>
      <c r="H448" s="229"/>
      <c r="I448" s="229"/>
      <c r="J448" s="229"/>
    </row>
    <row r="449" spans="2:13" ht="18" x14ac:dyDescent="0.25">
      <c r="B449" s="12" t="s">
        <v>335</v>
      </c>
      <c r="C449" s="195" t="s">
        <v>4284</v>
      </c>
      <c r="D449" s="228" t="s">
        <v>427</v>
      </c>
      <c r="E449" s="228"/>
      <c r="F449" s="1" t="s">
        <v>3927</v>
      </c>
      <c r="L449" s="12" t="s">
        <v>339</v>
      </c>
      <c r="M449" s="78" t="s">
        <v>4703</v>
      </c>
    </row>
    <row r="451" spans="2:13" x14ac:dyDescent="0.25">
      <c r="B451" s="2" t="s">
        <v>341</v>
      </c>
      <c r="C451" s="250" t="s">
        <v>342</v>
      </c>
      <c r="D451" s="250"/>
      <c r="E451" s="250" t="s">
        <v>343</v>
      </c>
      <c r="F451" s="250"/>
      <c r="G451" s="250" t="s">
        <v>954</v>
      </c>
      <c r="H451" s="250"/>
      <c r="I451" s="228" t="s">
        <v>345</v>
      </c>
      <c r="J451" s="228"/>
      <c r="K451" s="228"/>
      <c r="L451" s="228"/>
      <c r="M451" s="228"/>
    </row>
    <row r="452" spans="2:13" x14ac:dyDescent="0.25">
      <c r="C452" s="251"/>
      <c r="D452" s="251"/>
      <c r="E452" s="251"/>
      <c r="F452" s="251"/>
      <c r="G452" s="251"/>
      <c r="H452" s="251"/>
      <c r="I452" s="7"/>
      <c r="J452" s="7"/>
      <c r="K452" s="7"/>
      <c r="L452" s="7"/>
      <c r="M452" s="7"/>
    </row>
    <row r="453" spans="2:13" x14ac:dyDescent="0.25">
      <c r="B453" s="11" t="s">
        <v>4704</v>
      </c>
      <c r="C453" s="323" t="s">
        <v>4705</v>
      </c>
      <c r="D453" s="323" t="s">
        <v>744</v>
      </c>
      <c r="E453" s="252" t="s">
        <v>2003</v>
      </c>
      <c r="F453" s="252" t="s">
        <v>508</v>
      </c>
      <c r="G453" s="252" t="s">
        <v>4706</v>
      </c>
      <c r="H453" s="252" t="s">
        <v>390</v>
      </c>
      <c r="I453" s="14" t="s">
        <v>4707</v>
      </c>
      <c r="J453" s="7"/>
      <c r="K453" s="7"/>
      <c r="L453" s="7"/>
      <c r="M453" s="7"/>
    </row>
    <row r="454" spans="2:13" x14ac:dyDescent="0.25">
      <c r="B454" s="11"/>
      <c r="C454" s="205"/>
      <c r="D454" s="205"/>
      <c r="E454" s="252"/>
      <c r="F454" s="252"/>
      <c r="G454" s="252"/>
      <c r="H454" s="252"/>
      <c r="I454" s="14" t="s">
        <v>4708</v>
      </c>
      <c r="J454" s="7"/>
      <c r="K454" s="7"/>
      <c r="L454" s="7"/>
      <c r="M454" s="7"/>
    </row>
    <row r="455" spans="2:13" x14ac:dyDescent="0.25">
      <c r="B455" s="32" t="s">
        <v>4709</v>
      </c>
      <c r="C455" s="332" t="s">
        <v>2559</v>
      </c>
      <c r="D455" s="332"/>
      <c r="E455" s="255" t="s">
        <v>1312</v>
      </c>
      <c r="F455" s="255"/>
      <c r="G455" s="255" t="s">
        <v>4710</v>
      </c>
      <c r="H455" s="255"/>
      <c r="I455" s="14" t="s">
        <v>4711</v>
      </c>
      <c r="J455" s="7"/>
      <c r="K455" s="7"/>
      <c r="L455" s="7"/>
      <c r="M455" s="7"/>
    </row>
    <row r="456" spans="2:13" x14ac:dyDescent="0.25">
      <c r="B456" s="32"/>
      <c r="C456" s="207"/>
      <c r="D456" s="207"/>
      <c r="E456" s="191"/>
      <c r="F456" s="191"/>
      <c r="G456" s="191"/>
      <c r="H456" s="191"/>
      <c r="I456" s="14" t="s">
        <v>4712</v>
      </c>
      <c r="J456" s="7"/>
      <c r="K456" s="7"/>
      <c r="L456" s="7"/>
      <c r="M456" s="7"/>
    </row>
    <row r="457" spans="2:13" x14ac:dyDescent="0.25">
      <c r="B457" s="11" t="s">
        <v>4713</v>
      </c>
      <c r="C457" s="323" t="s">
        <v>2559</v>
      </c>
      <c r="D457" s="323"/>
      <c r="E457" s="252" t="s">
        <v>1312</v>
      </c>
      <c r="F457" s="252"/>
      <c r="G457" s="252" t="s">
        <v>4710</v>
      </c>
      <c r="H457" s="252"/>
      <c r="I457" s="14" t="s">
        <v>4714</v>
      </c>
      <c r="J457" s="7"/>
      <c r="K457" s="7"/>
      <c r="L457" s="7"/>
      <c r="M457" s="7"/>
    </row>
    <row r="458" spans="2:13" x14ac:dyDescent="0.25">
      <c r="B458" s="11"/>
      <c r="C458" s="205"/>
      <c r="D458" s="205"/>
      <c r="E458" s="188"/>
      <c r="F458" s="188"/>
      <c r="G458" s="188"/>
      <c r="H458" s="188"/>
      <c r="I458" s="14" t="s">
        <v>4715</v>
      </c>
      <c r="J458" s="7"/>
      <c r="K458" s="7"/>
      <c r="L458" s="7"/>
      <c r="M458" s="7"/>
    </row>
    <row r="459" spans="2:13" x14ac:dyDescent="0.25">
      <c r="B459" s="1" t="s">
        <v>2071</v>
      </c>
      <c r="C459" s="290" t="s">
        <v>4716</v>
      </c>
      <c r="D459" s="290" t="s">
        <v>390</v>
      </c>
      <c r="E459" s="253" t="s">
        <v>2136</v>
      </c>
      <c r="F459" s="253" t="s">
        <v>392</v>
      </c>
      <c r="G459" s="253" t="s">
        <v>2165</v>
      </c>
      <c r="H459" s="253" t="s">
        <v>789</v>
      </c>
      <c r="J459" s="7"/>
      <c r="K459" s="7"/>
      <c r="L459" s="7"/>
      <c r="M459" s="7"/>
    </row>
    <row r="460" spans="2:13" x14ac:dyDescent="0.25">
      <c r="B460" s="1"/>
      <c r="C460" s="189"/>
      <c r="D460" s="189"/>
      <c r="E460" s="253"/>
      <c r="F460" s="253"/>
      <c r="G460" s="253"/>
      <c r="H460" s="253"/>
      <c r="J460" s="7"/>
      <c r="K460" s="7"/>
      <c r="L460" s="7"/>
      <c r="M460" s="7"/>
    </row>
    <row r="461" spans="2:13" x14ac:dyDescent="0.25">
      <c r="B461" s="11" t="s">
        <v>4717</v>
      </c>
      <c r="C461" s="323" t="s">
        <v>4718</v>
      </c>
      <c r="D461" s="323" t="s">
        <v>744</v>
      </c>
      <c r="E461" s="252" t="s">
        <v>2178</v>
      </c>
      <c r="F461" s="252" t="s">
        <v>508</v>
      </c>
      <c r="G461" s="252" t="s">
        <v>1915</v>
      </c>
      <c r="H461" s="252" t="s">
        <v>390</v>
      </c>
      <c r="J461" s="7"/>
      <c r="K461" s="80"/>
      <c r="L461" s="7"/>
      <c r="M461" s="7"/>
    </row>
    <row r="462" spans="2:13" x14ac:dyDescent="0.25">
      <c r="B462" s="11"/>
      <c r="C462" s="188"/>
      <c r="D462" s="188"/>
      <c r="E462" s="252"/>
      <c r="F462" s="252"/>
      <c r="G462" s="252"/>
      <c r="H462" s="252"/>
      <c r="J462" s="7"/>
      <c r="K462" s="80"/>
      <c r="L462" s="7"/>
      <c r="M462" s="7"/>
    </row>
    <row r="463" spans="2:13" x14ac:dyDescent="0.25">
      <c r="B463" s="1" t="s">
        <v>4719</v>
      </c>
      <c r="C463" s="290" t="s">
        <v>4720</v>
      </c>
      <c r="D463" s="290" t="s">
        <v>4356</v>
      </c>
      <c r="E463" s="253" t="s">
        <v>1629</v>
      </c>
      <c r="F463" s="253" t="s">
        <v>854</v>
      </c>
      <c r="G463" s="253" t="s">
        <v>744</v>
      </c>
      <c r="H463" s="253" t="s">
        <v>1443</v>
      </c>
      <c r="J463" s="7"/>
      <c r="K463" s="80"/>
      <c r="L463" s="7"/>
      <c r="M463" s="7"/>
    </row>
    <row r="464" spans="2:13" x14ac:dyDescent="0.25">
      <c r="B464" s="1"/>
      <c r="C464" s="189"/>
      <c r="D464" s="189"/>
      <c r="E464" s="253"/>
      <c r="F464" s="253"/>
      <c r="G464" s="253"/>
      <c r="H464" s="253"/>
      <c r="J464" s="7"/>
      <c r="K464" s="80"/>
      <c r="L464" s="7"/>
      <c r="M464" s="7"/>
    </row>
    <row r="465" spans="2:13" x14ac:dyDescent="0.25">
      <c r="B465" s="11" t="s">
        <v>4721</v>
      </c>
      <c r="C465" s="323" t="s">
        <v>1200</v>
      </c>
      <c r="D465" s="323" t="s">
        <v>744</v>
      </c>
      <c r="E465" s="252" t="s">
        <v>1954</v>
      </c>
      <c r="F465" s="252" t="s">
        <v>508</v>
      </c>
      <c r="G465" s="252" t="s">
        <v>1202</v>
      </c>
      <c r="H465" s="252" t="s">
        <v>390</v>
      </c>
      <c r="I465" s="14"/>
      <c r="K465" s="80"/>
      <c r="L465" s="7"/>
      <c r="M465" s="7"/>
    </row>
    <row r="466" spans="2:13" x14ac:dyDescent="0.25">
      <c r="B466" s="11"/>
      <c r="C466" s="188"/>
      <c r="D466" s="188"/>
      <c r="E466" s="252"/>
      <c r="F466" s="252"/>
      <c r="G466" s="252"/>
      <c r="H466" s="252"/>
      <c r="I466" s="14"/>
      <c r="J466" s="7"/>
      <c r="K466" s="80"/>
      <c r="L466" s="7"/>
      <c r="M466" s="7"/>
    </row>
    <row r="467" spans="2:13" x14ac:dyDescent="0.25">
      <c r="B467" s="1" t="s">
        <v>354</v>
      </c>
      <c r="C467" s="290" t="s">
        <v>2105</v>
      </c>
      <c r="D467" s="290" t="s">
        <v>4356</v>
      </c>
      <c r="E467" s="253" t="s">
        <v>1915</v>
      </c>
      <c r="F467" s="253" t="s">
        <v>854</v>
      </c>
      <c r="G467" s="253" t="s">
        <v>4722</v>
      </c>
      <c r="H467" s="253" t="s">
        <v>1443</v>
      </c>
      <c r="I467" s="14"/>
      <c r="J467" s="14"/>
      <c r="K467" s="80"/>
      <c r="L467" s="7"/>
      <c r="M467" s="7"/>
    </row>
    <row r="468" spans="2:13" x14ac:dyDescent="0.25">
      <c r="B468" s="1"/>
      <c r="C468" s="199"/>
      <c r="D468" s="199"/>
      <c r="E468" s="253"/>
      <c r="F468" s="253"/>
      <c r="G468" s="253"/>
      <c r="H468" s="253"/>
      <c r="I468" s="14"/>
      <c r="J468" s="14"/>
      <c r="K468" s="80"/>
      <c r="L468" s="7"/>
      <c r="M468" s="7"/>
    </row>
    <row r="469" spans="2:13" x14ac:dyDescent="0.25">
      <c r="B469" s="11" t="s">
        <v>4723</v>
      </c>
      <c r="C469" s="323" t="s">
        <v>4724</v>
      </c>
      <c r="D469" s="323" t="s">
        <v>657</v>
      </c>
      <c r="E469" s="252" t="s">
        <v>1948</v>
      </c>
      <c r="F469" s="252" t="s">
        <v>486</v>
      </c>
      <c r="G469" s="252" t="s">
        <v>1949</v>
      </c>
      <c r="H469" s="252" t="s">
        <v>4369</v>
      </c>
      <c r="I469" s="14"/>
      <c r="K469" s="80"/>
      <c r="L469" s="7"/>
      <c r="M469" s="7"/>
    </row>
    <row r="470" spans="2:13" x14ac:dyDescent="0.25">
      <c r="B470" s="11"/>
      <c r="C470" s="205"/>
      <c r="D470" s="205"/>
      <c r="E470" s="252"/>
      <c r="F470" s="252"/>
      <c r="G470" s="252"/>
      <c r="H470" s="252"/>
      <c r="I470" s="14"/>
      <c r="K470" s="81"/>
    </row>
    <row r="471" spans="2:13" x14ac:dyDescent="0.25">
      <c r="B471" s="1" t="s">
        <v>1714</v>
      </c>
      <c r="C471" s="290" t="s">
        <v>1101</v>
      </c>
      <c r="D471" s="290" t="s">
        <v>495</v>
      </c>
      <c r="E471" s="253" t="s">
        <v>2563</v>
      </c>
      <c r="F471" s="253" t="s">
        <v>2708</v>
      </c>
      <c r="G471" s="253" t="s">
        <v>2925</v>
      </c>
      <c r="H471" s="253" t="s">
        <v>437</v>
      </c>
      <c r="I471" s="14"/>
      <c r="K471" s="81"/>
    </row>
    <row r="472" spans="2:13" x14ac:dyDescent="0.25">
      <c r="B472" s="1"/>
      <c r="C472" s="199"/>
      <c r="D472" s="199"/>
      <c r="E472" s="189"/>
      <c r="F472" s="189"/>
      <c r="G472" s="189"/>
      <c r="H472" s="189"/>
      <c r="I472" s="14"/>
      <c r="K472" s="81"/>
    </row>
    <row r="473" spans="2:13" x14ac:dyDescent="0.25">
      <c r="B473" s="11" t="s">
        <v>4725</v>
      </c>
      <c r="C473" s="323" t="s">
        <v>391</v>
      </c>
      <c r="D473" s="323" t="s">
        <v>657</v>
      </c>
      <c r="E473" s="252" t="s">
        <v>392</v>
      </c>
      <c r="F473" s="252" t="s">
        <v>486</v>
      </c>
      <c r="G473" s="252" t="s">
        <v>1928</v>
      </c>
      <c r="H473" s="252" t="s">
        <v>4369</v>
      </c>
      <c r="I473" s="14"/>
      <c r="K473" s="81"/>
    </row>
    <row r="474" spans="2:13" x14ac:dyDescent="0.25">
      <c r="B474" s="11"/>
      <c r="C474" s="205"/>
      <c r="D474" s="205"/>
      <c r="E474" s="252"/>
      <c r="F474" s="252"/>
      <c r="G474" s="252"/>
      <c r="H474" s="252"/>
      <c r="I474" s="14"/>
      <c r="K474" s="81"/>
    </row>
    <row r="475" spans="2:13" x14ac:dyDescent="0.25">
      <c r="B475" s="1" t="s">
        <v>548</v>
      </c>
      <c r="C475" s="290" t="s">
        <v>4726</v>
      </c>
      <c r="D475" s="290" t="s">
        <v>495</v>
      </c>
      <c r="E475" s="253" t="s">
        <v>1878</v>
      </c>
      <c r="F475" s="253" t="s">
        <v>2708</v>
      </c>
      <c r="G475" s="253" t="s">
        <v>742</v>
      </c>
      <c r="H475" s="253" t="s">
        <v>437</v>
      </c>
      <c r="I475" s="14"/>
      <c r="K475" s="81"/>
    </row>
    <row r="476" spans="2:13" x14ac:dyDescent="0.25">
      <c r="B476" s="1"/>
      <c r="C476" s="199"/>
      <c r="D476" s="199"/>
      <c r="E476" s="189"/>
      <c r="F476" s="189"/>
      <c r="G476" s="189"/>
      <c r="H476" s="189"/>
      <c r="I476" s="14"/>
      <c r="K476" s="81"/>
    </row>
    <row r="477" spans="2:13" x14ac:dyDescent="0.25">
      <c r="B477" s="11" t="s">
        <v>1046</v>
      </c>
      <c r="C477" s="323" t="s">
        <v>549</v>
      </c>
      <c r="D477" s="323" t="s">
        <v>657</v>
      </c>
      <c r="E477" s="252" t="s">
        <v>880</v>
      </c>
      <c r="F477" s="252" t="s">
        <v>486</v>
      </c>
      <c r="G477" s="252" t="s">
        <v>744</v>
      </c>
      <c r="H477" s="252" t="s">
        <v>4369</v>
      </c>
      <c r="I477" s="14"/>
      <c r="K477" s="81"/>
    </row>
    <row r="478" spans="2:13" x14ac:dyDescent="0.25">
      <c r="B478" s="11"/>
      <c r="C478" s="205"/>
      <c r="D478" s="205"/>
      <c r="E478" s="252"/>
      <c r="F478" s="252"/>
      <c r="G478" s="252"/>
      <c r="H478" s="252"/>
      <c r="I478" s="14"/>
      <c r="K478" s="81"/>
    </row>
    <row r="479" spans="2:13" x14ac:dyDescent="0.25">
      <c r="B479" s="1" t="s">
        <v>515</v>
      </c>
      <c r="C479" s="290" t="s">
        <v>744</v>
      </c>
      <c r="D479" s="290" t="s">
        <v>495</v>
      </c>
      <c r="E479" s="253" t="s">
        <v>891</v>
      </c>
      <c r="F479" s="253" t="s">
        <v>2708</v>
      </c>
      <c r="G479" s="253" t="s">
        <v>1630</v>
      </c>
      <c r="H479" s="253" t="s">
        <v>437</v>
      </c>
      <c r="I479" s="14"/>
      <c r="K479" s="81"/>
    </row>
    <row r="480" spans="2:13" x14ac:dyDescent="0.25">
      <c r="B480" s="1"/>
      <c r="C480" s="199"/>
      <c r="D480" s="199"/>
      <c r="E480" s="189"/>
      <c r="F480" s="189"/>
      <c r="G480" s="189"/>
      <c r="H480" s="189"/>
      <c r="I480" s="14"/>
      <c r="K480" s="81"/>
    </row>
    <row r="481" spans="2:13" x14ac:dyDescent="0.25">
      <c r="B481" s="11" t="s">
        <v>4727</v>
      </c>
      <c r="C481" s="323" t="s">
        <v>4728</v>
      </c>
      <c r="D481" s="323" t="s">
        <v>657</v>
      </c>
      <c r="E481" s="252" t="s">
        <v>4729</v>
      </c>
      <c r="F481" s="252" t="s">
        <v>486</v>
      </c>
      <c r="G481" s="252" t="s">
        <v>4730</v>
      </c>
      <c r="H481" s="252" t="s">
        <v>4369</v>
      </c>
      <c r="I481" s="14"/>
      <c r="K481" s="81"/>
    </row>
    <row r="482" spans="2:13" ht="15.75" thickBot="1" x14ac:dyDescent="0.3">
      <c r="B482" s="11"/>
      <c r="C482" s="205"/>
      <c r="D482" s="205"/>
      <c r="E482" s="252"/>
      <c r="F482" s="252"/>
      <c r="G482" s="252"/>
      <c r="H482" s="252"/>
      <c r="I482" s="14"/>
      <c r="K482" s="81"/>
    </row>
    <row r="483" spans="2:13" x14ac:dyDescent="0.25">
      <c r="B483" s="217" t="s">
        <v>401</v>
      </c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9"/>
    </row>
    <row r="484" spans="2:13" x14ac:dyDescent="0.25">
      <c r="B484" s="3" t="s">
        <v>402</v>
      </c>
      <c r="C484" s="232" t="s">
        <v>403</v>
      </c>
      <c r="D484" s="232"/>
      <c r="E484" s="232" t="s">
        <v>467</v>
      </c>
      <c r="F484" s="232"/>
      <c r="G484" s="232" t="s">
        <v>405</v>
      </c>
      <c r="H484" s="232"/>
      <c r="I484" s="232" t="s">
        <v>406</v>
      </c>
      <c r="J484" s="232"/>
      <c r="K484" s="234" t="s">
        <v>407</v>
      </c>
      <c r="L484" s="235"/>
      <c r="M484" s="236"/>
    </row>
    <row r="485" spans="2:13" ht="15.75" thickBot="1" x14ac:dyDescent="0.3">
      <c r="B485" s="5">
        <v>1.56</v>
      </c>
      <c r="C485" s="237"/>
      <c r="D485" s="238"/>
      <c r="E485" s="239"/>
      <c r="F485" s="238"/>
      <c r="G485" s="240"/>
      <c r="H485" s="240"/>
      <c r="I485" s="241"/>
      <c r="J485" s="241"/>
      <c r="K485" s="242">
        <v>1.6E-2</v>
      </c>
      <c r="L485" s="243"/>
      <c r="M485" s="244"/>
    </row>
    <row r="486" spans="2:13" x14ac:dyDescent="0.25">
      <c r="B486" s="1"/>
      <c r="C486" s="1"/>
      <c r="D486" s="1"/>
      <c r="E486" s="1"/>
      <c r="F486" s="1"/>
      <c r="G486" s="1"/>
      <c r="H486" s="1"/>
    </row>
    <row r="487" spans="2:13" x14ac:dyDescent="0.25">
      <c r="B487" s="217" t="s">
        <v>408</v>
      </c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9"/>
    </row>
    <row r="488" spans="2:13" x14ac:dyDescent="0.25">
      <c r="B488" s="122" t="s">
        <v>4731</v>
      </c>
      <c r="C488" s="220" t="s">
        <v>4732</v>
      </c>
      <c r="D488" s="220"/>
      <c r="E488" s="221" t="s">
        <v>4733</v>
      </c>
      <c r="F488" s="221"/>
      <c r="G488" s="221" t="s">
        <v>692</v>
      </c>
      <c r="H488" s="221"/>
      <c r="I488" s="220" t="s">
        <v>4734</v>
      </c>
      <c r="J488" s="220"/>
      <c r="K488" s="220" t="s">
        <v>4735</v>
      </c>
      <c r="L488" s="220"/>
      <c r="M488" s="222"/>
    </row>
    <row r="489" spans="2:13" x14ac:dyDescent="0.25">
      <c r="B489" s="123" t="s">
        <v>4736</v>
      </c>
      <c r="C489" s="225" t="s">
        <v>3972</v>
      </c>
      <c r="D489" s="226"/>
      <c r="E489" s="227" t="s">
        <v>4737</v>
      </c>
      <c r="F489" s="227"/>
      <c r="G489" s="223" t="s">
        <v>3974</v>
      </c>
      <c r="H489" s="223"/>
      <c r="I489" s="227" t="s">
        <v>4738</v>
      </c>
      <c r="J489" s="227"/>
      <c r="K489" s="223" t="s">
        <v>4739</v>
      </c>
      <c r="L489" s="223"/>
      <c r="M489" s="224"/>
    </row>
    <row r="490" spans="2:13" x14ac:dyDescent="0.25">
      <c r="B490" s="123" t="s">
        <v>4740</v>
      </c>
      <c r="C490" s="286" t="s">
        <v>422</v>
      </c>
      <c r="D490" s="287"/>
      <c r="E490" s="227" t="s">
        <v>4741</v>
      </c>
      <c r="F490" s="227"/>
      <c r="G490" s="223" t="s">
        <v>4742</v>
      </c>
      <c r="H490" s="223"/>
      <c r="I490" s="223" t="s">
        <v>4743</v>
      </c>
      <c r="J490" s="223"/>
      <c r="K490" s="223" t="s">
        <v>4744</v>
      </c>
      <c r="L490" s="223"/>
      <c r="M490" s="224"/>
    </row>
    <row r="492" spans="2:13" ht="23.25" x14ac:dyDescent="0.35">
      <c r="B492" s="29" t="s">
        <v>334</v>
      </c>
      <c r="C492" s="229" t="s">
        <v>18</v>
      </c>
      <c r="D492" s="229"/>
      <c r="E492" s="229"/>
      <c r="F492" s="229"/>
      <c r="G492" s="229"/>
      <c r="H492" s="229"/>
      <c r="I492" s="229"/>
      <c r="J492" s="229"/>
    </row>
    <row r="493" spans="2:13" ht="18" x14ac:dyDescent="0.25">
      <c r="B493" s="12" t="s">
        <v>335</v>
      </c>
      <c r="C493" s="195" t="s">
        <v>4284</v>
      </c>
      <c r="D493" s="228" t="s">
        <v>427</v>
      </c>
      <c r="E493" s="228"/>
      <c r="F493" s="1" t="s">
        <v>3927</v>
      </c>
      <c r="L493" s="12" t="s">
        <v>339</v>
      </c>
      <c r="M493" s="78" t="s">
        <v>4745</v>
      </c>
    </row>
    <row r="495" spans="2:13" x14ac:dyDescent="0.25">
      <c r="B495" s="2" t="s">
        <v>341</v>
      </c>
      <c r="C495" s="250" t="s">
        <v>342</v>
      </c>
      <c r="D495" s="250"/>
      <c r="E495" s="250" t="s">
        <v>343</v>
      </c>
      <c r="F495" s="250"/>
      <c r="G495" s="250" t="s">
        <v>954</v>
      </c>
      <c r="H495" s="250"/>
      <c r="I495" s="228" t="s">
        <v>345</v>
      </c>
      <c r="J495" s="228"/>
      <c r="K495" s="228"/>
      <c r="L495" s="228"/>
      <c r="M495" s="228"/>
    </row>
    <row r="496" spans="2:13" x14ac:dyDescent="0.25">
      <c r="C496" s="251"/>
      <c r="D496" s="251"/>
      <c r="E496" s="251"/>
      <c r="F496" s="251"/>
      <c r="G496" s="251"/>
      <c r="H496" s="251"/>
      <c r="I496" s="7"/>
      <c r="J496" s="7"/>
      <c r="K496" s="7"/>
      <c r="L496" s="7"/>
      <c r="M496" s="7"/>
    </row>
    <row r="497" spans="2:13" x14ac:dyDescent="0.25">
      <c r="B497" s="11" t="s">
        <v>4704</v>
      </c>
      <c r="C497" s="323" t="s">
        <v>4746</v>
      </c>
      <c r="D497" s="323" t="s">
        <v>744</v>
      </c>
      <c r="E497" s="252" t="s">
        <v>4747</v>
      </c>
      <c r="F497" s="252" t="s">
        <v>508</v>
      </c>
      <c r="G497" s="252" t="s">
        <v>4748</v>
      </c>
      <c r="H497" s="252" t="s">
        <v>390</v>
      </c>
      <c r="I497" s="14" t="s">
        <v>4749</v>
      </c>
      <c r="J497" s="7"/>
      <c r="K497" s="7"/>
      <c r="L497" s="7"/>
      <c r="M497" s="7"/>
    </row>
    <row r="498" spans="2:13" x14ac:dyDescent="0.25">
      <c r="B498" s="11"/>
      <c r="C498" s="205"/>
      <c r="D498" s="205"/>
      <c r="E498" s="252"/>
      <c r="F498" s="252"/>
      <c r="G498" s="252"/>
      <c r="H498" s="252"/>
      <c r="I498" s="14" t="s">
        <v>4750</v>
      </c>
      <c r="J498" s="7"/>
      <c r="K498" s="7"/>
      <c r="L498" s="7"/>
      <c r="M498" s="7"/>
    </row>
    <row r="499" spans="2:13" x14ac:dyDescent="0.25">
      <c r="B499" s="1" t="s">
        <v>4751</v>
      </c>
      <c r="C499" s="290" t="s">
        <v>4752</v>
      </c>
      <c r="D499" s="290" t="s">
        <v>390</v>
      </c>
      <c r="E499" s="253" t="s">
        <v>4753</v>
      </c>
      <c r="F499" s="253" t="s">
        <v>392</v>
      </c>
      <c r="G499" s="253" t="s">
        <v>4754</v>
      </c>
      <c r="H499" s="253" t="s">
        <v>789</v>
      </c>
      <c r="I499" s="14" t="s">
        <v>4755</v>
      </c>
      <c r="J499" s="7"/>
      <c r="K499" s="7"/>
      <c r="L499" s="7"/>
      <c r="M499" s="7"/>
    </row>
    <row r="500" spans="2:13" x14ac:dyDescent="0.25">
      <c r="B500" s="1"/>
      <c r="C500" s="189"/>
      <c r="D500" s="189"/>
      <c r="E500" s="253"/>
      <c r="F500" s="253"/>
      <c r="G500" s="253"/>
      <c r="H500" s="253"/>
      <c r="I500" s="14" t="s">
        <v>4756</v>
      </c>
      <c r="J500" s="7"/>
      <c r="K500" s="7"/>
      <c r="L500" s="7"/>
      <c r="M500" s="7"/>
    </row>
    <row r="501" spans="2:13" x14ac:dyDescent="0.25">
      <c r="B501" s="11" t="s">
        <v>457</v>
      </c>
      <c r="C501" s="323" t="s">
        <v>4757</v>
      </c>
      <c r="D501" s="323" t="s">
        <v>744</v>
      </c>
      <c r="E501" s="252" t="s">
        <v>1630</v>
      </c>
      <c r="F501" s="252" t="s">
        <v>508</v>
      </c>
      <c r="G501" s="252" t="s">
        <v>491</v>
      </c>
      <c r="H501" s="252" t="s">
        <v>390</v>
      </c>
      <c r="I501" s="14" t="s">
        <v>4758</v>
      </c>
      <c r="J501" s="7"/>
      <c r="K501" s="80"/>
      <c r="L501" s="7"/>
      <c r="M501" s="7"/>
    </row>
    <row r="502" spans="2:13" x14ac:dyDescent="0.25">
      <c r="B502" s="11"/>
      <c r="C502" s="188"/>
      <c r="D502" s="188"/>
      <c r="E502" s="252"/>
      <c r="F502" s="252"/>
      <c r="G502" s="252"/>
      <c r="H502" s="252"/>
      <c r="I502" s="14" t="s">
        <v>4759</v>
      </c>
      <c r="J502" s="7"/>
      <c r="K502" s="80"/>
      <c r="L502" s="7"/>
      <c r="M502" s="7"/>
    </row>
    <row r="503" spans="2:13" x14ac:dyDescent="0.25">
      <c r="B503" s="1" t="s">
        <v>548</v>
      </c>
      <c r="C503" s="290" t="s">
        <v>1280</v>
      </c>
      <c r="D503" s="290" t="s">
        <v>4356</v>
      </c>
      <c r="E503" s="253" t="s">
        <v>391</v>
      </c>
      <c r="F503" s="253" t="s">
        <v>854</v>
      </c>
      <c r="G503" s="253" t="s">
        <v>1822</v>
      </c>
      <c r="H503" s="253" t="s">
        <v>1443</v>
      </c>
      <c r="I503" s="14" t="s">
        <v>4715</v>
      </c>
      <c r="J503" s="7"/>
      <c r="K503" s="80"/>
      <c r="L503" s="7"/>
      <c r="M503" s="7"/>
    </row>
    <row r="504" spans="2:13" ht="15.75" thickBot="1" x14ac:dyDescent="0.3">
      <c r="B504" s="1"/>
      <c r="C504" s="189"/>
      <c r="D504" s="189"/>
      <c r="E504" s="253"/>
      <c r="F504" s="253"/>
      <c r="G504" s="253"/>
      <c r="H504" s="253"/>
      <c r="J504" s="7"/>
      <c r="K504" s="80"/>
      <c r="L504" s="7"/>
      <c r="M504" s="7"/>
    </row>
    <row r="505" spans="2:13" x14ac:dyDescent="0.25">
      <c r="B505" s="217" t="s">
        <v>401</v>
      </c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9"/>
    </row>
    <row r="506" spans="2:13" x14ac:dyDescent="0.25">
      <c r="B506" s="3" t="s">
        <v>402</v>
      </c>
      <c r="C506" s="232" t="s">
        <v>403</v>
      </c>
      <c r="D506" s="232"/>
      <c r="E506" s="232" t="s">
        <v>467</v>
      </c>
      <c r="F506" s="232"/>
      <c r="G506" s="232" t="s">
        <v>405</v>
      </c>
      <c r="H506" s="232"/>
      <c r="I506" s="232" t="s">
        <v>406</v>
      </c>
      <c r="J506" s="232"/>
      <c r="K506" s="234" t="s">
        <v>468</v>
      </c>
      <c r="L506" s="235"/>
      <c r="M506" s="236"/>
    </row>
    <row r="507" spans="2:13" ht="15.75" thickBot="1" x14ac:dyDescent="0.3">
      <c r="B507" s="5">
        <v>1</v>
      </c>
      <c r="C507" s="237"/>
      <c r="D507" s="238"/>
      <c r="E507" s="239"/>
      <c r="F507" s="238"/>
      <c r="G507" s="240"/>
      <c r="H507" s="240"/>
      <c r="I507" s="241"/>
      <c r="J507" s="241"/>
      <c r="K507" s="242"/>
      <c r="L507" s="243"/>
      <c r="M507" s="244"/>
    </row>
    <row r="508" spans="2:13" ht="15.75" thickBot="1" x14ac:dyDescent="0.3">
      <c r="B508" s="1"/>
      <c r="C508" s="1"/>
      <c r="D508" s="1"/>
      <c r="E508" s="1"/>
      <c r="F508" s="1"/>
      <c r="G508" s="1"/>
      <c r="H508" s="1"/>
    </row>
    <row r="509" spans="2:13" x14ac:dyDescent="0.25">
      <c r="B509" s="217" t="s">
        <v>408</v>
      </c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9"/>
    </row>
    <row r="510" spans="2:13" x14ac:dyDescent="0.25">
      <c r="B510" s="3" t="s">
        <v>4760</v>
      </c>
      <c r="C510" s="232" t="s">
        <v>4761</v>
      </c>
      <c r="D510" s="232"/>
      <c r="E510" s="233" t="s">
        <v>4762</v>
      </c>
      <c r="F510" s="233"/>
      <c r="G510" s="233" t="s">
        <v>692</v>
      </c>
      <c r="H510" s="233"/>
      <c r="I510" s="233" t="s">
        <v>4763</v>
      </c>
      <c r="J510" s="233"/>
      <c r="K510" s="232" t="s">
        <v>4764</v>
      </c>
      <c r="L510" s="232"/>
      <c r="M510" s="269"/>
    </row>
    <row r="511" spans="2:13" ht="15.75" thickBot="1" x14ac:dyDescent="0.3">
      <c r="B511" s="5" t="s">
        <v>3918</v>
      </c>
      <c r="C511" s="240" t="s">
        <v>4765</v>
      </c>
      <c r="D511" s="240"/>
      <c r="E511" s="266" t="s">
        <v>4766</v>
      </c>
      <c r="F511" s="266"/>
      <c r="G511" s="239" t="s">
        <v>4767</v>
      </c>
      <c r="H511" s="238"/>
      <c r="I511" s="237" t="s">
        <v>4768</v>
      </c>
      <c r="J511" s="238"/>
      <c r="K511" s="240" t="s">
        <v>2824</v>
      </c>
      <c r="L511" s="240"/>
      <c r="M511" s="267"/>
    </row>
    <row r="513" spans="2:13" ht="23.25" x14ac:dyDescent="0.35">
      <c r="B513" s="29" t="s">
        <v>334</v>
      </c>
      <c r="C513" s="229" t="s">
        <v>23</v>
      </c>
      <c r="D513" s="229"/>
      <c r="E513" s="229"/>
      <c r="F513" s="229"/>
      <c r="G513" s="229"/>
      <c r="H513" s="229"/>
      <c r="I513" s="229"/>
      <c r="J513" s="229"/>
      <c r="K513" s="229"/>
    </row>
    <row r="514" spans="2:13" ht="18" x14ac:dyDescent="0.25">
      <c r="B514" s="12" t="s">
        <v>335</v>
      </c>
      <c r="C514" s="195" t="s">
        <v>4284</v>
      </c>
      <c r="D514" s="228" t="s">
        <v>427</v>
      </c>
      <c r="E514" s="228"/>
      <c r="F514" s="1" t="s">
        <v>3173</v>
      </c>
      <c r="L514" s="12" t="s">
        <v>339</v>
      </c>
      <c r="M514" s="78" t="s">
        <v>4769</v>
      </c>
    </row>
    <row r="516" spans="2:13" x14ac:dyDescent="0.25">
      <c r="B516" s="2" t="s">
        <v>341</v>
      </c>
      <c r="C516" s="250" t="s">
        <v>3773</v>
      </c>
      <c r="D516" s="250"/>
      <c r="E516" s="250" t="s">
        <v>3774</v>
      </c>
      <c r="F516" s="250"/>
      <c r="G516" s="250" t="s">
        <v>3174</v>
      </c>
      <c r="H516" s="250"/>
      <c r="I516" s="228" t="s">
        <v>345</v>
      </c>
      <c r="J516" s="228"/>
      <c r="K516" s="228"/>
      <c r="L516" s="228"/>
      <c r="M516" s="228"/>
    </row>
    <row r="517" spans="2:13" x14ac:dyDescent="0.25">
      <c r="C517" s="251"/>
      <c r="D517" s="251"/>
      <c r="E517" s="251"/>
      <c r="F517" s="251"/>
      <c r="G517" s="251"/>
      <c r="H517" s="251"/>
      <c r="I517" s="7"/>
      <c r="J517" s="7"/>
      <c r="K517" s="7"/>
      <c r="L517" s="7"/>
      <c r="M517" s="7"/>
    </row>
    <row r="518" spans="2:13" x14ac:dyDescent="0.25">
      <c r="B518" s="11" t="s">
        <v>4770</v>
      </c>
      <c r="C518" s="323" t="s">
        <v>4771</v>
      </c>
      <c r="D518" s="323" t="s">
        <v>744</v>
      </c>
      <c r="E518" s="252" t="s">
        <v>4772</v>
      </c>
      <c r="F518" s="252" t="s">
        <v>508</v>
      </c>
      <c r="G518" s="252" t="s">
        <v>4773</v>
      </c>
      <c r="H518" s="252" t="s">
        <v>390</v>
      </c>
      <c r="I518" s="14" t="s">
        <v>4774</v>
      </c>
      <c r="J518" s="7"/>
      <c r="K518" s="7"/>
      <c r="L518" s="7"/>
      <c r="M518" s="7"/>
    </row>
    <row r="519" spans="2:13" x14ac:dyDescent="0.25">
      <c r="B519" s="11"/>
      <c r="C519" s="205"/>
      <c r="D519" s="205"/>
      <c r="E519" s="252"/>
      <c r="F519" s="252"/>
      <c r="G519" s="252"/>
      <c r="H519" s="252"/>
      <c r="I519" s="14" t="s">
        <v>4775</v>
      </c>
      <c r="J519" s="7"/>
      <c r="K519" s="7"/>
      <c r="L519" s="7"/>
      <c r="M519" s="7"/>
    </row>
    <row r="520" spans="2:13" x14ac:dyDescent="0.25">
      <c r="B520" s="1" t="s">
        <v>4776</v>
      </c>
      <c r="C520" s="290" t="s">
        <v>2613</v>
      </c>
      <c r="D520" s="290" t="s">
        <v>390</v>
      </c>
      <c r="E520" s="253" t="s">
        <v>1856</v>
      </c>
      <c r="F520" s="253" t="s">
        <v>392</v>
      </c>
      <c r="G520" s="253" t="s">
        <v>1376</v>
      </c>
      <c r="H520" s="253" t="s">
        <v>789</v>
      </c>
      <c r="I520" s="14" t="s">
        <v>4777</v>
      </c>
      <c r="J520" s="7"/>
      <c r="K520" s="7"/>
      <c r="L520" s="7"/>
      <c r="M520" s="7"/>
    </row>
    <row r="521" spans="2:13" x14ac:dyDescent="0.25">
      <c r="B521" s="1"/>
      <c r="C521" s="189"/>
      <c r="D521" s="189"/>
      <c r="E521" s="253"/>
      <c r="F521" s="253"/>
      <c r="G521" s="253"/>
      <c r="H521" s="253"/>
      <c r="I521" s="14" t="s">
        <v>4778</v>
      </c>
      <c r="J521" s="7"/>
      <c r="K521" s="7"/>
      <c r="L521" s="7"/>
      <c r="M521" s="7"/>
    </row>
    <row r="522" spans="2:13" x14ac:dyDescent="0.25">
      <c r="B522" s="11" t="s">
        <v>3598</v>
      </c>
      <c r="C522" s="323" t="s">
        <v>4779</v>
      </c>
      <c r="D522" s="323" t="s">
        <v>744</v>
      </c>
      <c r="E522" s="323" t="s">
        <v>4779</v>
      </c>
      <c r="F522" s="323" t="s">
        <v>744</v>
      </c>
      <c r="G522" s="323" t="s">
        <v>4779</v>
      </c>
      <c r="H522" s="323" t="s">
        <v>744</v>
      </c>
      <c r="I522" s="14" t="s">
        <v>4780</v>
      </c>
      <c r="J522" s="7"/>
      <c r="K522" s="80"/>
      <c r="L522" s="7"/>
      <c r="M522" s="7"/>
    </row>
    <row r="523" spans="2:13" x14ac:dyDescent="0.25">
      <c r="B523" s="11" t="s">
        <v>869</v>
      </c>
      <c r="C523" s="188"/>
      <c r="D523" s="188"/>
      <c r="E523" s="252"/>
      <c r="F523" s="252"/>
      <c r="G523" s="252"/>
      <c r="H523" s="252"/>
      <c r="I523" s="14" t="s">
        <v>4781</v>
      </c>
      <c r="J523" s="7"/>
      <c r="K523" s="80"/>
      <c r="L523" s="7"/>
      <c r="M523" s="7"/>
    </row>
    <row r="524" spans="2:13" ht="15.75" thickBot="1" x14ac:dyDescent="0.3">
      <c r="B524" s="1"/>
      <c r="C524" s="290"/>
      <c r="D524" s="290" t="s">
        <v>4356</v>
      </c>
      <c r="E524" s="253"/>
      <c r="F524" s="253" t="s">
        <v>854</v>
      </c>
      <c r="G524" s="253"/>
      <c r="H524" s="253" t="s">
        <v>1443</v>
      </c>
      <c r="I524" s="14" t="s">
        <v>4782</v>
      </c>
      <c r="J524" s="7"/>
      <c r="K524" s="80"/>
      <c r="L524" s="7"/>
      <c r="M524" s="7"/>
    </row>
    <row r="525" spans="2:13" x14ac:dyDescent="0.25">
      <c r="B525" s="217" t="s">
        <v>401</v>
      </c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9"/>
    </row>
    <row r="526" spans="2:13" x14ac:dyDescent="0.25">
      <c r="B526" s="3" t="s">
        <v>402</v>
      </c>
      <c r="C526" s="232" t="s">
        <v>403</v>
      </c>
      <c r="D526" s="232"/>
      <c r="E526" s="232" t="s">
        <v>467</v>
      </c>
      <c r="F526" s="232"/>
      <c r="G526" s="232" t="s">
        <v>405</v>
      </c>
      <c r="H526" s="232"/>
      <c r="I526" s="232" t="s">
        <v>406</v>
      </c>
      <c r="J526" s="232"/>
      <c r="K526" s="234" t="s">
        <v>468</v>
      </c>
      <c r="L526" s="235"/>
      <c r="M526" s="236"/>
    </row>
    <row r="527" spans="2:13" ht="15.75" thickBot="1" x14ac:dyDescent="0.3">
      <c r="B527" s="5">
        <v>0.67</v>
      </c>
      <c r="C527" s="237"/>
      <c r="D527" s="238"/>
      <c r="E527" s="239">
        <v>1.1200000000000001</v>
      </c>
      <c r="F527" s="238"/>
      <c r="G527" s="240"/>
      <c r="H527" s="240"/>
      <c r="I527" s="241"/>
      <c r="J527" s="241"/>
      <c r="K527" s="242"/>
      <c r="L527" s="243"/>
      <c r="M527" s="244"/>
    </row>
    <row r="528" spans="2:13" ht="15.75" thickBot="1" x14ac:dyDescent="0.3">
      <c r="B528" s="1"/>
      <c r="C528" s="1"/>
      <c r="D528" s="1"/>
      <c r="E528" s="1"/>
      <c r="F528" s="1"/>
      <c r="G528" s="1"/>
      <c r="H528" s="1"/>
    </row>
    <row r="529" spans="2:13" x14ac:dyDescent="0.25">
      <c r="B529" s="217" t="s">
        <v>408</v>
      </c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9"/>
    </row>
    <row r="530" spans="2:13" x14ac:dyDescent="0.25">
      <c r="B530" s="3" t="s">
        <v>4783</v>
      </c>
      <c r="C530" s="232" t="s">
        <v>4784</v>
      </c>
      <c r="D530" s="232"/>
      <c r="E530" s="233" t="s">
        <v>2041</v>
      </c>
      <c r="F530" s="233"/>
      <c r="G530" s="233" t="s">
        <v>4785</v>
      </c>
      <c r="H530" s="233"/>
      <c r="I530" s="233" t="s">
        <v>4786</v>
      </c>
      <c r="J530" s="233"/>
      <c r="K530" s="232" t="s">
        <v>4787</v>
      </c>
      <c r="L530" s="232"/>
      <c r="M530" s="269"/>
    </row>
    <row r="531" spans="2:13" ht="15.75" thickBot="1" x14ac:dyDescent="0.3">
      <c r="B531" s="5" t="s">
        <v>4788</v>
      </c>
      <c r="C531" s="240" t="s">
        <v>4789</v>
      </c>
      <c r="D531" s="240"/>
      <c r="E531" s="266" t="s">
        <v>4790</v>
      </c>
      <c r="F531" s="266"/>
      <c r="G531" s="239" t="s">
        <v>2550</v>
      </c>
      <c r="H531" s="238"/>
      <c r="I531" s="237" t="s">
        <v>4791</v>
      </c>
      <c r="J531" s="238"/>
      <c r="K531" s="240" t="s">
        <v>4792</v>
      </c>
      <c r="L531" s="240"/>
      <c r="M531" s="267"/>
    </row>
    <row r="533" spans="2:13" ht="23.25" x14ac:dyDescent="0.35">
      <c r="B533" s="29" t="s">
        <v>334</v>
      </c>
      <c r="C533" s="229" t="s">
        <v>58</v>
      </c>
      <c r="D533" s="229"/>
      <c r="E533" s="229"/>
      <c r="F533" s="229"/>
      <c r="G533" s="229"/>
      <c r="H533" s="229"/>
      <c r="I533" s="229"/>
      <c r="J533" s="229"/>
    </row>
    <row r="534" spans="2:13" ht="18" x14ac:dyDescent="0.25">
      <c r="B534" s="12" t="s">
        <v>335</v>
      </c>
      <c r="C534" s="195" t="s">
        <v>4284</v>
      </c>
      <c r="D534" s="228" t="s">
        <v>427</v>
      </c>
      <c r="E534" s="228"/>
      <c r="F534" s="1" t="s">
        <v>3173</v>
      </c>
      <c r="L534" s="12" t="s">
        <v>339</v>
      </c>
      <c r="M534" s="78" t="s">
        <v>4793</v>
      </c>
    </row>
    <row r="536" spans="2:13" x14ac:dyDescent="0.25">
      <c r="B536" s="2" t="s">
        <v>341</v>
      </c>
      <c r="C536" s="250" t="s">
        <v>342</v>
      </c>
      <c r="D536" s="250"/>
      <c r="E536" s="250" t="s">
        <v>343</v>
      </c>
      <c r="F536" s="250"/>
      <c r="G536" s="250" t="s">
        <v>954</v>
      </c>
      <c r="H536" s="250"/>
      <c r="I536" s="228" t="s">
        <v>345</v>
      </c>
      <c r="J536" s="228"/>
      <c r="K536" s="228"/>
      <c r="L536" s="228"/>
      <c r="M536" s="228"/>
    </row>
    <row r="537" spans="2:13" x14ac:dyDescent="0.25">
      <c r="C537" s="251"/>
      <c r="D537" s="251"/>
      <c r="E537" s="251"/>
      <c r="F537" s="251"/>
      <c r="G537" s="251"/>
      <c r="H537" s="251"/>
      <c r="I537" s="7"/>
      <c r="J537" s="7"/>
      <c r="K537" s="7"/>
      <c r="L537" s="7"/>
      <c r="M537" s="7"/>
    </row>
    <row r="538" spans="2:13" x14ac:dyDescent="0.25">
      <c r="B538" s="13" t="s">
        <v>4794</v>
      </c>
      <c r="C538" s="323" t="s">
        <v>4795</v>
      </c>
      <c r="D538" s="323" t="s">
        <v>744</v>
      </c>
      <c r="E538" s="252" t="s">
        <v>2917</v>
      </c>
      <c r="F538" s="252" t="s">
        <v>508</v>
      </c>
      <c r="G538" s="252" t="s">
        <v>4796</v>
      </c>
      <c r="H538" s="252" t="s">
        <v>390</v>
      </c>
      <c r="I538" s="14" t="s">
        <v>4797</v>
      </c>
      <c r="J538" s="7"/>
      <c r="K538" s="7"/>
      <c r="L538" s="7"/>
      <c r="M538" s="7"/>
    </row>
    <row r="539" spans="2:13" x14ac:dyDescent="0.25">
      <c r="B539" s="13" t="s">
        <v>2681</v>
      </c>
      <c r="C539" s="205"/>
      <c r="D539" s="205"/>
      <c r="E539" s="252"/>
      <c r="F539" s="252"/>
      <c r="G539" s="252"/>
      <c r="H539" s="252"/>
      <c r="I539" s="14" t="s">
        <v>4798</v>
      </c>
      <c r="J539" s="7"/>
      <c r="K539" s="7"/>
      <c r="L539" s="7"/>
      <c r="M539" s="7"/>
    </row>
    <row r="540" spans="2:13" x14ac:dyDescent="0.25">
      <c r="B540" s="14" t="s">
        <v>4799</v>
      </c>
      <c r="C540" s="290" t="s">
        <v>4800</v>
      </c>
      <c r="D540" s="290" t="s">
        <v>390</v>
      </c>
      <c r="E540" s="253" t="s">
        <v>4801</v>
      </c>
      <c r="F540" s="253" t="s">
        <v>392</v>
      </c>
      <c r="G540" s="253" t="s">
        <v>2718</v>
      </c>
      <c r="H540" s="253" t="s">
        <v>789</v>
      </c>
      <c r="I540" s="14" t="s">
        <v>4802</v>
      </c>
      <c r="J540" s="7"/>
      <c r="K540" s="7"/>
      <c r="L540" s="7"/>
      <c r="M540" s="7"/>
    </row>
    <row r="541" spans="2:13" x14ac:dyDescent="0.25">
      <c r="B541" s="14" t="s">
        <v>4803</v>
      </c>
      <c r="C541" s="189"/>
      <c r="D541" s="189"/>
      <c r="E541" s="253"/>
      <c r="F541" s="253"/>
      <c r="G541" s="253"/>
      <c r="H541" s="253"/>
      <c r="I541" s="14" t="s">
        <v>4544</v>
      </c>
      <c r="J541" s="7"/>
      <c r="K541" s="7"/>
      <c r="L541" s="7"/>
      <c r="M541" s="7"/>
    </row>
    <row r="542" spans="2:13" x14ac:dyDescent="0.25">
      <c r="B542" s="13" t="s">
        <v>4804</v>
      </c>
      <c r="C542" s="323" t="s">
        <v>1234</v>
      </c>
      <c r="D542" s="323" t="s">
        <v>744</v>
      </c>
      <c r="E542" s="252" t="s">
        <v>1235</v>
      </c>
      <c r="F542" s="252" t="s">
        <v>508</v>
      </c>
      <c r="G542" s="252" t="s">
        <v>787</v>
      </c>
      <c r="H542" s="252" t="s">
        <v>390</v>
      </c>
      <c r="I542" s="14" t="s">
        <v>4805</v>
      </c>
      <c r="J542" s="7"/>
      <c r="K542" s="80"/>
      <c r="L542" s="7"/>
      <c r="M542" s="7"/>
    </row>
    <row r="543" spans="2:13" x14ac:dyDescent="0.25">
      <c r="B543" s="13" t="s">
        <v>4806</v>
      </c>
      <c r="C543" s="252" t="s">
        <v>1234</v>
      </c>
      <c r="D543" s="252"/>
      <c r="E543" s="252" t="s">
        <v>1235</v>
      </c>
      <c r="F543" s="252"/>
      <c r="G543" s="252" t="s">
        <v>787</v>
      </c>
      <c r="H543" s="252"/>
      <c r="I543" s="14" t="s">
        <v>4807</v>
      </c>
      <c r="J543" s="7"/>
      <c r="K543" s="80"/>
      <c r="L543" s="7"/>
      <c r="M543" s="7"/>
    </row>
    <row r="544" spans="2:13" x14ac:dyDescent="0.25">
      <c r="B544" s="13" t="s">
        <v>4808</v>
      </c>
      <c r="C544" s="323" t="s">
        <v>1234</v>
      </c>
      <c r="D544" s="323" t="s">
        <v>4356</v>
      </c>
      <c r="E544" s="252" t="s">
        <v>1235</v>
      </c>
      <c r="F544" s="252" t="s">
        <v>854</v>
      </c>
      <c r="G544" s="252" t="s">
        <v>787</v>
      </c>
      <c r="H544" s="252" t="s">
        <v>1443</v>
      </c>
      <c r="I544" s="14" t="s">
        <v>4809</v>
      </c>
      <c r="J544" s="7"/>
      <c r="K544" s="80"/>
      <c r="L544" s="7"/>
      <c r="M544" s="7"/>
    </row>
    <row r="545" spans="2:13" x14ac:dyDescent="0.25">
      <c r="B545" s="14" t="s">
        <v>4810</v>
      </c>
      <c r="C545" s="253" t="s">
        <v>1109</v>
      </c>
      <c r="D545" s="253"/>
      <c r="E545" s="253" t="s">
        <v>1042</v>
      </c>
      <c r="F545" s="253"/>
      <c r="G545" s="253" t="s">
        <v>2314</v>
      </c>
      <c r="H545" s="253"/>
      <c r="J545" s="7"/>
      <c r="K545" s="80"/>
      <c r="L545" s="7"/>
      <c r="M545" s="7"/>
    </row>
    <row r="546" spans="2:13" x14ac:dyDescent="0.25">
      <c r="B546" s="14"/>
      <c r="C546" s="332"/>
      <c r="D546" s="332" t="s">
        <v>744</v>
      </c>
      <c r="E546" s="255"/>
      <c r="F546" s="255" t="s">
        <v>508</v>
      </c>
      <c r="G546" s="255"/>
      <c r="H546" s="255" t="s">
        <v>390</v>
      </c>
      <c r="I546" s="14"/>
      <c r="K546" s="80"/>
      <c r="L546" s="7"/>
      <c r="M546" s="7"/>
    </row>
    <row r="547" spans="2:13" x14ac:dyDescent="0.25">
      <c r="B547" s="13" t="s">
        <v>397</v>
      </c>
      <c r="C547" s="252" t="s">
        <v>4800</v>
      </c>
      <c r="D547" s="252"/>
      <c r="E547" s="252" t="s">
        <v>4801</v>
      </c>
      <c r="F547" s="252"/>
      <c r="G547" s="252" t="s">
        <v>2718</v>
      </c>
      <c r="H547" s="252"/>
      <c r="I547" s="14"/>
      <c r="J547" s="7"/>
      <c r="K547" s="80"/>
      <c r="L547" s="7"/>
      <c r="M547" s="7"/>
    </row>
    <row r="548" spans="2:13" x14ac:dyDescent="0.25">
      <c r="B548" s="13"/>
      <c r="C548" s="323"/>
      <c r="D548" s="323" t="s">
        <v>4356</v>
      </c>
      <c r="E548" s="252"/>
      <c r="F548" s="252" t="s">
        <v>854</v>
      </c>
      <c r="G548" s="252"/>
      <c r="H548" s="252" t="s">
        <v>1443</v>
      </c>
      <c r="I548" s="14"/>
      <c r="J548" s="14"/>
      <c r="K548" s="80"/>
      <c r="L548" s="7"/>
      <c r="M548" s="7"/>
    </row>
    <row r="549" spans="2:13" x14ac:dyDescent="0.25">
      <c r="B549" s="14" t="s">
        <v>1046</v>
      </c>
      <c r="C549" s="290" t="s">
        <v>1130</v>
      </c>
      <c r="D549" s="290"/>
      <c r="E549" s="253" t="s">
        <v>1131</v>
      </c>
      <c r="F549" s="253"/>
      <c r="G549" s="253" t="s">
        <v>1026</v>
      </c>
      <c r="H549" s="253"/>
      <c r="I549" s="14"/>
      <c r="J549" s="14"/>
      <c r="K549" s="80"/>
      <c r="L549" s="7"/>
      <c r="M549" s="7"/>
    </row>
    <row r="550" spans="2:13" ht="15.75" thickBot="1" x14ac:dyDescent="0.3">
      <c r="B550" s="32"/>
      <c r="C550" s="332"/>
      <c r="D550" s="332" t="s">
        <v>657</v>
      </c>
      <c r="E550" s="255"/>
      <c r="F550" s="255" t="s">
        <v>486</v>
      </c>
      <c r="G550" s="255"/>
      <c r="H550" s="255" t="s">
        <v>4369</v>
      </c>
      <c r="I550" s="14"/>
      <c r="K550" s="80"/>
      <c r="L550" s="7"/>
      <c r="M550" s="7"/>
    </row>
    <row r="551" spans="2:13" x14ac:dyDescent="0.25">
      <c r="B551" s="217" t="s">
        <v>401</v>
      </c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9"/>
    </row>
    <row r="552" spans="2:13" x14ac:dyDescent="0.25">
      <c r="B552" s="3" t="s">
        <v>402</v>
      </c>
      <c r="C552" s="232" t="s">
        <v>403</v>
      </c>
      <c r="D552" s="232"/>
      <c r="E552" s="232" t="s">
        <v>467</v>
      </c>
      <c r="F552" s="232"/>
      <c r="G552" s="232" t="s">
        <v>405</v>
      </c>
      <c r="H552" s="232"/>
      <c r="I552" s="232" t="s">
        <v>406</v>
      </c>
      <c r="J552" s="232"/>
      <c r="K552" s="234" t="s">
        <v>468</v>
      </c>
      <c r="L552" s="235"/>
      <c r="M552" s="236"/>
    </row>
    <row r="553" spans="2:13" ht="15.75" thickBot="1" x14ac:dyDescent="0.3">
      <c r="B553" s="5">
        <v>2</v>
      </c>
      <c r="C553" s="237"/>
      <c r="D553" s="238"/>
      <c r="E553" s="239"/>
      <c r="F553" s="238"/>
      <c r="G553" s="240"/>
      <c r="H553" s="240"/>
      <c r="I553" s="241"/>
      <c r="J553" s="241"/>
      <c r="K553" s="242"/>
      <c r="L553" s="243"/>
      <c r="M553" s="244"/>
    </row>
    <row r="554" spans="2:13" ht="15.75" thickBot="1" x14ac:dyDescent="0.3">
      <c r="B554" s="1"/>
      <c r="C554" s="1"/>
      <c r="D554" s="1"/>
      <c r="E554" s="1"/>
      <c r="F554" s="1"/>
      <c r="G554" s="1"/>
      <c r="H554" s="1"/>
    </row>
    <row r="555" spans="2:13" x14ac:dyDescent="0.25">
      <c r="B555" s="217" t="s">
        <v>408</v>
      </c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9"/>
    </row>
    <row r="556" spans="2:13" x14ac:dyDescent="0.25">
      <c r="B556" s="3" t="s">
        <v>4811</v>
      </c>
      <c r="C556" s="232" t="s">
        <v>4812</v>
      </c>
      <c r="D556" s="232"/>
      <c r="E556" s="268" t="s">
        <v>4813</v>
      </c>
      <c r="F556" s="268"/>
      <c r="G556" s="232" t="s">
        <v>692</v>
      </c>
      <c r="H556" s="232"/>
      <c r="I556" s="232" t="s">
        <v>4814</v>
      </c>
      <c r="J556" s="232"/>
      <c r="K556" s="232" t="s">
        <v>4815</v>
      </c>
      <c r="L556" s="232"/>
      <c r="M556" s="269"/>
    </row>
    <row r="557" spans="2:13" ht="15.75" thickBot="1" x14ac:dyDescent="0.3">
      <c r="B557" s="5" t="s">
        <v>4788</v>
      </c>
      <c r="C557" s="240" t="s">
        <v>4816</v>
      </c>
      <c r="D557" s="240"/>
      <c r="E557" s="240" t="s">
        <v>2823</v>
      </c>
      <c r="F557" s="240"/>
      <c r="G557" s="239" t="s">
        <v>4817</v>
      </c>
      <c r="H557" s="238"/>
      <c r="I557" s="237" t="s">
        <v>4818</v>
      </c>
      <c r="J557" s="238"/>
      <c r="K557" s="240" t="s">
        <v>4819</v>
      </c>
      <c r="L557" s="240"/>
      <c r="M557" s="267"/>
    </row>
    <row r="559" spans="2:13" ht="23.25" x14ac:dyDescent="0.35">
      <c r="B559" s="29" t="s">
        <v>334</v>
      </c>
      <c r="C559" s="229" t="s">
        <v>73</v>
      </c>
      <c r="D559" s="229"/>
      <c r="E559" s="229"/>
      <c r="F559" s="229"/>
      <c r="G559" s="229"/>
      <c r="H559" s="229"/>
      <c r="I559" s="229"/>
      <c r="J559" s="229"/>
    </row>
    <row r="560" spans="2:13" ht="18" x14ac:dyDescent="0.25">
      <c r="B560" s="12" t="s">
        <v>335</v>
      </c>
      <c r="C560" s="195" t="s">
        <v>4284</v>
      </c>
      <c r="D560" s="228" t="s">
        <v>427</v>
      </c>
      <c r="E560" s="228"/>
      <c r="F560" s="1" t="s">
        <v>3173</v>
      </c>
      <c r="L560" s="12" t="s">
        <v>339</v>
      </c>
      <c r="M560" s="78" t="s">
        <v>4820</v>
      </c>
    </row>
    <row r="562" spans="2:13" x14ac:dyDescent="0.25">
      <c r="B562" s="2" t="s">
        <v>341</v>
      </c>
      <c r="C562" s="250" t="s">
        <v>342</v>
      </c>
      <c r="D562" s="250"/>
      <c r="E562" s="250" t="s">
        <v>343</v>
      </c>
      <c r="F562" s="250"/>
      <c r="G562" s="250" t="s">
        <v>954</v>
      </c>
      <c r="H562" s="250"/>
      <c r="I562" s="228" t="s">
        <v>345</v>
      </c>
      <c r="J562" s="228"/>
      <c r="K562" s="228"/>
      <c r="L562" s="228"/>
      <c r="M562" s="228"/>
    </row>
    <row r="563" spans="2:13" x14ac:dyDescent="0.25">
      <c r="C563" s="251"/>
      <c r="D563" s="251"/>
      <c r="E563" s="251"/>
      <c r="F563" s="251"/>
      <c r="G563" s="251"/>
      <c r="H563" s="251"/>
      <c r="I563" s="7"/>
      <c r="J563" s="7"/>
      <c r="K563" s="7"/>
      <c r="L563" s="7"/>
      <c r="M563" s="7"/>
    </row>
    <row r="564" spans="2:13" x14ac:dyDescent="0.25">
      <c r="B564" s="11" t="s">
        <v>4821</v>
      </c>
      <c r="C564" s="323" t="s">
        <v>4822</v>
      </c>
      <c r="D564" s="323" t="s">
        <v>744</v>
      </c>
      <c r="E564" s="252" t="s">
        <v>4823</v>
      </c>
      <c r="F564" s="252" t="s">
        <v>508</v>
      </c>
      <c r="G564" s="252" t="s">
        <v>4824</v>
      </c>
      <c r="H564" s="252" t="s">
        <v>390</v>
      </c>
      <c r="I564" s="14" t="s">
        <v>4825</v>
      </c>
      <c r="J564" s="7"/>
      <c r="K564" s="7"/>
      <c r="L564" s="7"/>
      <c r="M564" s="7"/>
    </row>
    <row r="565" spans="2:13" x14ac:dyDescent="0.25">
      <c r="B565" s="11" t="s">
        <v>4826</v>
      </c>
      <c r="C565" s="205"/>
      <c r="D565" s="205"/>
      <c r="E565" s="252"/>
      <c r="F565" s="252"/>
      <c r="G565" s="252"/>
      <c r="H565" s="252"/>
      <c r="I565" s="14" t="s">
        <v>4827</v>
      </c>
      <c r="J565" s="7"/>
      <c r="K565" s="7"/>
      <c r="L565" s="7"/>
      <c r="M565" s="7"/>
    </row>
    <row r="566" spans="2:13" x14ac:dyDescent="0.25">
      <c r="B566" s="1" t="s">
        <v>2236</v>
      </c>
      <c r="C566" s="290" t="s">
        <v>4828</v>
      </c>
      <c r="D566" s="290" t="s">
        <v>390</v>
      </c>
      <c r="E566" s="253" t="s">
        <v>4754</v>
      </c>
      <c r="F566" s="253" t="s">
        <v>392</v>
      </c>
      <c r="G566" s="253" t="s">
        <v>1850</v>
      </c>
      <c r="H566" s="253" t="s">
        <v>789</v>
      </c>
      <c r="I566" s="14" t="s">
        <v>4829</v>
      </c>
      <c r="J566" s="7"/>
      <c r="K566" s="7"/>
      <c r="L566" s="7"/>
      <c r="M566" s="7"/>
    </row>
    <row r="567" spans="2:13" x14ac:dyDescent="0.25">
      <c r="B567" s="1"/>
      <c r="C567" s="189"/>
      <c r="D567" s="189"/>
      <c r="E567" s="253"/>
      <c r="F567" s="253"/>
      <c r="G567" s="253"/>
      <c r="H567" s="253"/>
      <c r="I567" s="14" t="s">
        <v>4830</v>
      </c>
      <c r="J567" s="7"/>
      <c r="K567" s="7"/>
      <c r="L567" s="7"/>
      <c r="M567" s="7"/>
    </row>
    <row r="568" spans="2:13" x14ac:dyDescent="0.25">
      <c r="B568" s="11" t="s">
        <v>848</v>
      </c>
      <c r="C568" s="323" t="s">
        <v>1915</v>
      </c>
      <c r="D568" s="323" t="s">
        <v>744</v>
      </c>
      <c r="E568" s="252" t="s">
        <v>1892</v>
      </c>
      <c r="F568" s="252" t="s">
        <v>508</v>
      </c>
      <c r="G568" s="252" t="s">
        <v>2175</v>
      </c>
      <c r="H568" s="252" t="s">
        <v>390</v>
      </c>
      <c r="I568" s="14" t="s">
        <v>4831</v>
      </c>
      <c r="J568" s="7"/>
      <c r="K568" s="80"/>
      <c r="L568" s="7"/>
      <c r="M568" s="7"/>
    </row>
    <row r="569" spans="2:13" x14ac:dyDescent="0.25">
      <c r="B569" s="11"/>
      <c r="C569" s="188"/>
      <c r="D569" s="188"/>
      <c r="E569" s="252"/>
      <c r="F569" s="252"/>
      <c r="G569" s="252"/>
      <c r="H569" s="252"/>
      <c r="I569" s="14" t="s">
        <v>4832</v>
      </c>
      <c r="J569" s="7"/>
      <c r="K569" s="80"/>
      <c r="L569" s="7"/>
      <c r="M569" s="7"/>
    </row>
    <row r="570" spans="2:13" x14ac:dyDescent="0.25">
      <c r="B570" s="1" t="s">
        <v>548</v>
      </c>
      <c r="C570" s="290" t="s">
        <v>4833</v>
      </c>
      <c r="D570" s="290" t="s">
        <v>4356</v>
      </c>
      <c r="E570" s="253" t="s">
        <v>4834</v>
      </c>
      <c r="F570" s="253" t="s">
        <v>854</v>
      </c>
      <c r="G570" s="253" t="s">
        <v>1101</v>
      </c>
      <c r="H570" s="253" t="s">
        <v>1443</v>
      </c>
      <c r="I570" s="14" t="s">
        <v>2450</v>
      </c>
      <c r="J570" s="7"/>
      <c r="K570" s="80"/>
      <c r="L570" s="7"/>
      <c r="M570" s="7"/>
    </row>
    <row r="571" spans="2:13" x14ac:dyDescent="0.25">
      <c r="B571" s="1"/>
      <c r="C571" s="189"/>
      <c r="D571" s="189"/>
      <c r="E571" s="253"/>
      <c r="F571" s="253"/>
      <c r="G571" s="253"/>
      <c r="H571" s="253"/>
      <c r="I571" s="14" t="s">
        <v>4835</v>
      </c>
      <c r="J571" s="7"/>
      <c r="K571" s="80"/>
      <c r="L571" s="7"/>
      <c r="M571" s="7"/>
    </row>
    <row r="572" spans="2:13" x14ac:dyDescent="0.25">
      <c r="B572" s="11" t="s">
        <v>1046</v>
      </c>
      <c r="C572" s="323" t="s">
        <v>744</v>
      </c>
      <c r="D572" s="323" t="s">
        <v>744</v>
      </c>
      <c r="E572" s="252" t="s">
        <v>891</v>
      </c>
      <c r="F572" s="252" t="s">
        <v>508</v>
      </c>
      <c r="G572" s="252" t="s">
        <v>1630</v>
      </c>
      <c r="H572" s="252" t="s">
        <v>390</v>
      </c>
      <c r="I572" s="14" t="s">
        <v>4836</v>
      </c>
      <c r="K572" s="80"/>
      <c r="L572" s="7"/>
      <c r="M572" s="7"/>
    </row>
    <row r="573" spans="2:13" x14ac:dyDescent="0.25">
      <c r="B573" s="11"/>
      <c r="C573" s="188"/>
      <c r="D573" s="188"/>
      <c r="E573" s="252"/>
      <c r="F573" s="252"/>
      <c r="G573" s="252"/>
      <c r="H573" s="252"/>
      <c r="I573" s="14" t="s">
        <v>4837</v>
      </c>
      <c r="J573" s="7"/>
      <c r="K573" s="80"/>
      <c r="L573" s="7"/>
      <c r="M573" s="7"/>
    </row>
    <row r="574" spans="2:13" x14ac:dyDescent="0.25">
      <c r="B574" s="1"/>
      <c r="C574" s="290"/>
      <c r="D574" s="290" t="s">
        <v>4356</v>
      </c>
      <c r="E574" s="253"/>
      <c r="F574" s="253" t="s">
        <v>854</v>
      </c>
      <c r="G574" s="253"/>
      <c r="H574" s="253" t="s">
        <v>1443</v>
      </c>
      <c r="I574" s="14" t="s">
        <v>4838</v>
      </c>
      <c r="J574" s="14"/>
      <c r="K574" s="80"/>
      <c r="L574" s="7"/>
      <c r="M574" s="7"/>
    </row>
    <row r="575" spans="2:13" x14ac:dyDescent="0.25">
      <c r="B575" s="1"/>
      <c r="C575" s="199"/>
      <c r="D575" s="199"/>
      <c r="E575" s="253"/>
      <c r="F575" s="253"/>
      <c r="G575" s="253"/>
      <c r="H575" s="253"/>
      <c r="I575" s="14" t="s">
        <v>4839</v>
      </c>
      <c r="J575" s="14"/>
      <c r="K575" s="80"/>
      <c r="L575" s="7"/>
      <c r="M575" s="7"/>
    </row>
    <row r="576" spans="2:13" x14ac:dyDescent="0.25">
      <c r="B576" s="32"/>
      <c r="C576" s="332"/>
      <c r="D576" s="332" t="s">
        <v>657</v>
      </c>
      <c r="E576" s="255"/>
      <c r="F576" s="255" t="s">
        <v>486</v>
      </c>
      <c r="G576" s="255"/>
      <c r="H576" s="255" t="s">
        <v>4369</v>
      </c>
      <c r="I576" s="14" t="s">
        <v>612</v>
      </c>
      <c r="K576" s="80"/>
      <c r="L576" s="7"/>
      <c r="M576" s="7"/>
    </row>
    <row r="577" spans="2:13" ht="15.75" thickBot="1" x14ac:dyDescent="0.3">
      <c r="B577" s="32"/>
      <c r="C577" s="207"/>
      <c r="D577" s="207"/>
      <c r="E577" s="255"/>
      <c r="F577" s="255"/>
      <c r="G577" s="255"/>
      <c r="H577" s="255"/>
      <c r="I577" s="14" t="s">
        <v>4840</v>
      </c>
      <c r="K577" s="81"/>
    </row>
    <row r="578" spans="2:13" x14ac:dyDescent="0.25">
      <c r="B578" s="217" t="s">
        <v>401</v>
      </c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9"/>
    </row>
    <row r="579" spans="2:13" x14ac:dyDescent="0.25">
      <c r="B579" s="3" t="s">
        <v>402</v>
      </c>
      <c r="C579" s="232" t="s">
        <v>403</v>
      </c>
      <c r="D579" s="232"/>
      <c r="E579" s="232" t="s">
        <v>467</v>
      </c>
      <c r="F579" s="232"/>
      <c r="G579" s="232" t="s">
        <v>405</v>
      </c>
      <c r="H579" s="232"/>
      <c r="I579" s="232" t="s">
        <v>1766</v>
      </c>
      <c r="J579" s="232"/>
      <c r="K579" s="234" t="s">
        <v>468</v>
      </c>
      <c r="L579" s="235"/>
      <c r="M579" s="236"/>
    </row>
    <row r="580" spans="2:13" ht="15.75" thickBot="1" x14ac:dyDescent="0.3">
      <c r="B580" s="5"/>
      <c r="C580" s="237"/>
      <c r="D580" s="238"/>
      <c r="E580" s="239"/>
      <c r="F580" s="238"/>
      <c r="G580" s="240"/>
      <c r="H580" s="240"/>
      <c r="I580" s="240">
        <v>0.5</v>
      </c>
      <c r="J580" s="240"/>
      <c r="K580" s="242"/>
      <c r="L580" s="243"/>
      <c r="M580" s="244"/>
    </row>
    <row r="581" spans="2:13" ht="15.75" thickBot="1" x14ac:dyDescent="0.3">
      <c r="B581" s="1"/>
      <c r="C581" s="1"/>
      <c r="D581" s="1"/>
      <c r="E581" s="1"/>
      <c r="F581" s="1"/>
      <c r="G581" s="1"/>
      <c r="H581" s="1"/>
    </row>
    <row r="582" spans="2:13" x14ac:dyDescent="0.25">
      <c r="B582" s="217" t="s">
        <v>408</v>
      </c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9"/>
    </row>
    <row r="583" spans="2:13" x14ac:dyDescent="0.25">
      <c r="B583" s="3" t="s">
        <v>4841</v>
      </c>
      <c r="C583" s="232" t="s">
        <v>4842</v>
      </c>
      <c r="D583" s="232"/>
      <c r="E583" s="268" t="s">
        <v>4843</v>
      </c>
      <c r="F583" s="268"/>
      <c r="G583" s="233" t="s">
        <v>4844</v>
      </c>
      <c r="H583" s="233"/>
      <c r="I583" s="232" t="s">
        <v>4845</v>
      </c>
      <c r="J583" s="232"/>
      <c r="K583" s="232" t="s">
        <v>4846</v>
      </c>
      <c r="L583" s="232"/>
      <c r="M583" s="269"/>
    </row>
    <row r="584" spans="2:13" ht="15.75" thickBot="1" x14ac:dyDescent="0.3">
      <c r="B584" s="5" t="s">
        <v>4847</v>
      </c>
      <c r="C584" s="240" t="s">
        <v>4848</v>
      </c>
      <c r="D584" s="240"/>
      <c r="E584" s="266" t="s">
        <v>4849</v>
      </c>
      <c r="F584" s="266"/>
      <c r="G584" s="239" t="s">
        <v>4850</v>
      </c>
      <c r="H584" s="238"/>
      <c r="I584" s="237" t="s">
        <v>3919</v>
      </c>
      <c r="J584" s="238"/>
      <c r="K584" s="240" t="s">
        <v>4851</v>
      </c>
      <c r="L584" s="240"/>
      <c r="M584" s="267"/>
    </row>
    <row r="586" spans="2:13" ht="23.25" x14ac:dyDescent="0.35">
      <c r="B586" s="29" t="s">
        <v>334</v>
      </c>
      <c r="C586" s="229" t="s">
        <v>28</v>
      </c>
      <c r="D586" s="229"/>
      <c r="E586" s="229"/>
      <c r="F586" s="229"/>
      <c r="G586" s="229"/>
      <c r="H586" s="229"/>
      <c r="I586" s="229"/>
      <c r="J586" s="229"/>
    </row>
    <row r="587" spans="2:13" ht="18" x14ac:dyDescent="0.25">
      <c r="B587" s="12" t="s">
        <v>335</v>
      </c>
      <c r="C587" s="195" t="s">
        <v>4284</v>
      </c>
      <c r="D587" s="228" t="s">
        <v>427</v>
      </c>
      <c r="E587" s="228"/>
      <c r="F587" s="1" t="s">
        <v>2096</v>
      </c>
      <c r="L587" s="12" t="s">
        <v>339</v>
      </c>
      <c r="M587" s="78" t="s">
        <v>4852</v>
      </c>
    </row>
    <row r="589" spans="2:13" x14ac:dyDescent="0.25">
      <c r="B589" s="2" t="s">
        <v>341</v>
      </c>
      <c r="C589" s="250" t="s">
        <v>953</v>
      </c>
      <c r="D589" s="250"/>
      <c r="E589" s="250" t="s">
        <v>342</v>
      </c>
      <c r="F589" s="250"/>
      <c r="G589" s="250" t="s">
        <v>954</v>
      </c>
      <c r="H589" s="250"/>
      <c r="I589" s="228" t="s">
        <v>345</v>
      </c>
      <c r="J589" s="228"/>
      <c r="K589" s="228"/>
      <c r="L589" s="228"/>
      <c r="M589" s="228"/>
    </row>
    <row r="590" spans="2:13" x14ac:dyDescent="0.25">
      <c r="C590" s="251"/>
      <c r="D590" s="251"/>
      <c r="E590" s="251"/>
      <c r="F590" s="251"/>
      <c r="G590" s="251"/>
      <c r="H590" s="251"/>
      <c r="I590" s="7"/>
      <c r="J590" s="7"/>
      <c r="K590" s="7"/>
      <c r="L590" s="7"/>
      <c r="M590" s="7"/>
    </row>
    <row r="591" spans="2:13" x14ac:dyDescent="0.25">
      <c r="B591" s="11" t="s">
        <v>1549</v>
      </c>
      <c r="C591" s="323" t="s">
        <v>2127</v>
      </c>
      <c r="D591" s="323" t="s">
        <v>744</v>
      </c>
      <c r="E591" s="323" t="s">
        <v>2380</v>
      </c>
      <c r="F591" s="323" t="s">
        <v>744</v>
      </c>
      <c r="G591" s="252" t="s">
        <v>4853</v>
      </c>
      <c r="H591" s="252" t="s">
        <v>390</v>
      </c>
      <c r="I591" s="14" t="s">
        <v>4854</v>
      </c>
      <c r="J591" s="7"/>
      <c r="K591" s="7"/>
      <c r="L591" s="7"/>
      <c r="M591" s="7"/>
    </row>
    <row r="592" spans="2:13" x14ac:dyDescent="0.25">
      <c r="B592" s="11"/>
      <c r="C592" s="205"/>
      <c r="D592" s="205"/>
      <c r="E592" s="205"/>
      <c r="F592" s="205"/>
      <c r="G592" s="252"/>
      <c r="H592" s="252"/>
      <c r="I592" s="14" t="s">
        <v>4855</v>
      </c>
      <c r="J592" s="7"/>
      <c r="K592" s="7"/>
      <c r="L592" s="7"/>
      <c r="M592" s="7"/>
    </row>
    <row r="593" spans="2:13" x14ac:dyDescent="0.25">
      <c r="B593" s="1" t="s">
        <v>4856</v>
      </c>
      <c r="C593" s="290" t="s">
        <v>2036</v>
      </c>
      <c r="D593" s="290" t="s">
        <v>390</v>
      </c>
      <c r="E593" s="290" t="s">
        <v>2944</v>
      </c>
      <c r="F593" s="290" t="s">
        <v>390</v>
      </c>
      <c r="G593" s="253" t="s">
        <v>4857</v>
      </c>
      <c r="H593" s="253" t="s">
        <v>789</v>
      </c>
      <c r="I593" s="14" t="s">
        <v>4858</v>
      </c>
      <c r="J593" s="7"/>
      <c r="K593" s="7"/>
      <c r="L593" s="7"/>
      <c r="M593" s="7"/>
    </row>
    <row r="594" spans="2:13" x14ac:dyDescent="0.25">
      <c r="B594" s="1"/>
      <c r="C594" s="189"/>
      <c r="D594" s="189"/>
      <c r="E594" s="189"/>
      <c r="F594" s="189"/>
      <c r="G594" s="253"/>
      <c r="H594" s="253"/>
      <c r="I594" s="14" t="s">
        <v>4859</v>
      </c>
      <c r="J594" s="7"/>
      <c r="K594" s="7"/>
      <c r="L594" s="7"/>
      <c r="M594" s="7"/>
    </row>
    <row r="595" spans="2:13" x14ac:dyDescent="0.25">
      <c r="B595" s="11" t="s">
        <v>4860</v>
      </c>
      <c r="C595" s="323" t="s">
        <v>4861</v>
      </c>
      <c r="D595" s="323" t="s">
        <v>744</v>
      </c>
      <c r="E595" s="323" t="s">
        <v>2722</v>
      </c>
      <c r="F595" s="323" t="s">
        <v>744</v>
      </c>
      <c r="G595" s="252" t="s">
        <v>4862</v>
      </c>
      <c r="H595" s="252" t="s">
        <v>390</v>
      </c>
      <c r="I595" s="14" t="s">
        <v>4863</v>
      </c>
      <c r="J595" s="7"/>
      <c r="K595" s="80"/>
      <c r="L595" s="7"/>
      <c r="M595" s="7"/>
    </row>
    <row r="596" spans="2:13" x14ac:dyDescent="0.25">
      <c r="B596" s="11" t="s">
        <v>4864</v>
      </c>
      <c r="C596" s="252" t="s">
        <v>742</v>
      </c>
      <c r="D596" s="252"/>
      <c r="E596" s="252" t="s">
        <v>3014</v>
      </c>
      <c r="F596" s="252"/>
      <c r="G596" s="252" t="s">
        <v>1989</v>
      </c>
      <c r="H596" s="252"/>
      <c r="I596" s="14" t="s">
        <v>4714</v>
      </c>
      <c r="J596" s="7"/>
      <c r="K596" s="80"/>
      <c r="L596" s="7"/>
      <c r="M596" s="7"/>
    </row>
    <row r="597" spans="2:13" x14ac:dyDescent="0.25">
      <c r="B597" s="1" t="s">
        <v>518</v>
      </c>
      <c r="C597" s="290" t="s">
        <v>2803</v>
      </c>
      <c r="D597" s="290" t="s">
        <v>4356</v>
      </c>
      <c r="E597" s="290" t="s">
        <v>3263</v>
      </c>
      <c r="F597" s="290" t="s">
        <v>4356</v>
      </c>
      <c r="G597" s="253" t="s">
        <v>4865</v>
      </c>
      <c r="H597" s="253" t="s">
        <v>1443</v>
      </c>
      <c r="I597" s="14" t="s">
        <v>4715</v>
      </c>
      <c r="J597" s="7"/>
      <c r="K597" s="80"/>
      <c r="L597" s="7"/>
      <c r="M597" s="7"/>
    </row>
    <row r="598" spans="2:13" x14ac:dyDescent="0.25">
      <c r="B598" s="1"/>
      <c r="C598" s="189"/>
      <c r="D598" s="189"/>
      <c r="E598" s="189"/>
      <c r="F598" s="189"/>
      <c r="G598" s="253"/>
      <c r="H598" s="253"/>
      <c r="J598" s="7"/>
      <c r="K598" s="80"/>
      <c r="L598" s="7"/>
      <c r="M598" s="7"/>
    </row>
    <row r="599" spans="2:13" x14ac:dyDescent="0.25">
      <c r="B599" s="11" t="s">
        <v>1458</v>
      </c>
      <c r="C599" s="323" t="s">
        <v>391</v>
      </c>
      <c r="D599" s="323" t="s">
        <v>744</v>
      </c>
      <c r="E599" s="323" t="s">
        <v>392</v>
      </c>
      <c r="F599" s="323" t="s">
        <v>744</v>
      </c>
      <c r="G599" s="252" t="s">
        <v>2165</v>
      </c>
      <c r="H599" s="252" t="s">
        <v>390</v>
      </c>
      <c r="I599" s="14"/>
      <c r="K599" s="80"/>
      <c r="L599" s="7"/>
      <c r="M599" s="7"/>
    </row>
    <row r="600" spans="2:13" x14ac:dyDescent="0.25">
      <c r="B600" s="11"/>
      <c r="C600" s="188"/>
      <c r="D600" s="188"/>
      <c r="E600" s="188"/>
      <c r="F600" s="188"/>
      <c r="G600" s="252"/>
      <c r="H600" s="252"/>
      <c r="I600" s="14"/>
      <c r="J600" s="7"/>
      <c r="K600" s="80"/>
      <c r="L600" s="7"/>
      <c r="M600" s="7"/>
    </row>
    <row r="601" spans="2:13" x14ac:dyDescent="0.25">
      <c r="B601" s="1" t="s">
        <v>3758</v>
      </c>
      <c r="C601" s="290" t="s">
        <v>527</v>
      </c>
      <c r="D601" s="290" t="s">
        <v>4356</v>
      </c>
      <c r="E601" s="290" t="s">
        <v>2652</v>
      </c>
      <c r="F601" s="290" t="s">
        <v>4356</v>
      </c>
      <c r="G601" s="253" t="s">
        <v>4866</v>
      </c>
      <c r="H601" s="253" t="s">
        <v>1443</v>
      </c>
      <c r="I601" s="14"/>
      <c r="J601" s="14"/>
      <c r="K601" s="80"/>
      <c r="L601" s="7"/>
      <c r="M601" s="7"/>
    </row>
    <row r="602" spans="2:13" x14ac:dyDescent="0.25">
      <c r="B602" s="1"/>
      <c r="C602" s="199"/>
      <c r="D602" s="199"/>
      <c r="E602" s="199"/>
      <c r="F602" s="199"/>
      <c r="G602" s="253"/>
      <c r="H602" s="253"/>
      <c r="I602" s="14"/>
      <c r="J602" s="14"/>
      <c r="K602" s="80"/>
      <c r="L602" s="7"/>
      <c r="M602" s="7"/>
    </row>
    <row r="603" spans="2:13" x14ac:dyDescent="0.25">
      <c r="B603" s="11" t="s">
        <v>2810</v>
      </c>
      <c r="C603" s="323" t="s">
        <v>1131</v>
      </c>
      <c r="D603" s="323" t="s">
        <v>657</v>
      </c>
      <c r="E603" s="323" t="s">
        <v>1026</v>
      </c>
      <c r="F603" s="323" t="s">
        <v>657</v>
      </c>
      <c r="G603" s="252" t="s">
        <v>1100</v>
      </c>
      <c r="H603" s="252" t="s">
        <v>4369</v>
      </c>
      <c r="I603" s="14"/>
      <c r="K603" s="80"/>
      <c r="L603" s="7"/>
      <c r="M603" s="7"/>
    </row>
    <row r="604" spans="2:13" x14ac:dyDescent="0.25">
      <c r="B604" s="11"/>
      <c r="C604" s="205"/>
      <c r="D604" s="205"/>
      <c r="E604" s="205"/>
      <c r="F604" s="205"/>
      <c r="G604" s="252"/>
      <c r="H604" s="252"/>
      <c r="I604" s="14"/>
      <c r="K604" s="81"/>
    </row>
    <row r="605" spans="2:13" x14ac:dyDescent="0.25">
      <c r="B605" s="1" t="s">
        <v>457</v>
      </c>
      <c r="C605" s="290" t="s">
        <v>1131</v>
      </c>
      <c r="D605" s="290" t="s">
        <v>495</v>
      </c>
      <c r="E605" s="290" t="s">
        <v>1026</v>
      </c>
      <c r="F605" s="290" t="s">
        <v>495</v>
      </c>
      <c r="G605" s="253" t="s">
        <v>1100</v>
      </c>
      <c r="H605" s="253" t="s">
        <v>437</v>
      </c>
      <c r="I605" s="14"/>
      <c r="K605" s="81"/>
    </row>
    <row r="606" spans="2:13" x14ac:dyDescent="0.25">
      <c r="B606" s="1"/>
      <c r="C606" s="199"/>
      <c r="D606" s="199"/>
      <c r="E606" s="199"/>
      <c r="F606" s="199"/>
      <c r="G606" s="189"/>
      <c r="H606" s="189"/>
      <c r="I606" s="14"/>
      <c r="K606" s="81"/>
    </row>
    <row r="607" spans="2:13" x14ac:dyDescent="0.25">
      <c r="B607" s="11" t="s">
        <v>4867</v>
      </c>
      <c r="C607" s="323" t="s">
        <v>880</v>
      </c>
      <c r="D607" s="323" t="s">
        <v>657</v>
      </c>
      <c r="E607" s="323" t="s">
        <v>744</v>
      </c>
      <c r="F607" s="323" t="s">
        <v>657</v>
      </c>
      <c r="G607" s="252" t="s">
        <v>1630</v>
      </c>
      <c r="H607" s="252" t="s">
        <v>4369</v>
      </c>
      <c r="I607" s="14"/>
      <c r="K607" s="81"/>
    </row>
    <row r="608" spans="2:13" x14ac:dyDescent="0.25">
      <c r="B608" s="11"/>
      <c r="C608" s="205"/>
      <c r="D608" s="205"/>
      <c r="E608" s="205"/>
      <c r="F608" s="205"/>
      <c r="G608" s="252"/>
      <c r="H608" s="252"/>
      <c r="I608" s="14"/>
      <c r="K608" s="81"/>
    </row>
    <row r="609" spans="2:13" x14ac:dyDescent="0.25">
      <c r="B609" s="1" t="s">
        <v>4868</v>
      </c>
      <c r="C609" s="290" t="s">
        <v>4869</v>
      </c>
      <c r="D609" s="290" t="s">
        <v>495</v>
      </c>
      <c r="E609" s="290" t="s">
        <v>4870</v>
      </c>
      <c r="F609" s="290" t="s">
        <v>495</v>
      </c>
      <c r="G609" s="253" t="s">
        <v>4871</v>
      </c>
      <c r="H609" s="253" t="s">
        <v>437</v>
      </c>
      <c r="I609" s="14"/>
      <c r="K609" s="81"/>
    </row>
    <row r="610" spans="2:13" x14ac:dyDescent="0.25">
      <c r="B610" s="1"/>
      <c r="C610" s="199"/>
      <c r="D610" s="199"/>
      <c r="E610" s="199"/>
      <c r="F610" s="199"/>
      <c r="G610" s="189"/>
      <c r="H610" s="189"/>
      <c r="I610" s="14"/>
      <c r="K610" s="81"/>
    </row>
    <row r="611" spans="2:13" x14ac:dyDescent="0.25">
      <c r="B611" s="11" t="s">
        <v>1408</v>
      </c>
      <c r="C611" s="323" t="s">
        <v>392</v>
      </c>
      <c r="D611" s="323" t="s">
        <v>657</v>
      </c>
      <c r="E611" s="323" t="s">
        <v>374</v>
      </c>
      <c r="F611" s="323" t="s">
        <v>657</v>
      </c>
      <c r="G611" s="252" t="s">
        <v>375</v>
      </c>
      <c r="H611" s="252" t="s">
        <v>4369</v>
      </c>
      <c r="I611" s="14"/>
      <c r="K611" s="81"/>
    </row>
    <row r="612" spans="2:13" x14ac:dyDescent="0.25">
      <c r="B612" s="11"/>
      <c r="C612" s="205"/>
      <c r="D612" s="205"/>
      <c r="E612" s="205"/>
      <c r="F612" s="205"/>
      <c r="G612" s="252"/>
      <c r="H612" s="252"/>
      <c r="I612" s="14"/>
      <c r="K612" s="81"/>
    </row>
    <row r="613" spans="2:13" x14ac:dyDescent="0.25">
      <c r="B613" s="1" t="s">
        <v>1913</v>
      </c>
      <c r="C613" s="290" t="s">
        <v>392</v>
      </c>
      <c r="D613" s="290" t="s">
        <v>495</v>
      </c>
      <c r="E613" s="290" t="s">
        <v>374</v>
      </c>
      <c r="F613" s="290" t="s">
        <v>495</v>
      </c>
      <c r="G613" s="253" t="s">
        <v>375</v>
      </c>
      <c r="H613" s="253" t="s">
        <v>437</v>
      </c>
      <c r="I613" s="14"/>
      <c r="K613" s="81"/>
    </row>
    <row r="614" spans="2:13" x14ac:dyDescent="0.25">
      <c r="B614" s="1"/>
      <c r="C614" s="199"/>
      <c r="D614" s="199"/>
      <c r="E614" s="199"/>
      <c r="F614" s="199"/>
      <c r="G614" s="189"/>
      <c r="H614" s="189"/>
      <c r="I614" s="14"/>
      <c r="K614" s="81"/>
    </row>
    <row r="615" spans="2:13" x14ac:dyDescent="0.25">
      <c r="B615" s="11" t="s">
        <v>4872</v>
      </c>
      <c r="C615" s="323" t="s">
        <v>1915</v>
      </c>
      <c r="D615" s="323" t="s">
        <v>657</v>
      </c>
      <c r="E615" s="323" t="s">
        <v>3966</v>
      </c>
      <c r="F615" s="323" t="s">
        <v>657</v>
      </c>
      <c r="G615" s="252" t="s">
        <v>1833</v>
      </c>
      <c r="H615" s="252" t="s">
        <v>4369</v>
      </c>
      <c r="I615" s="14"/>
      <c r="K615" s="81"/>
    </row>
    <row r="616" spans="2:13" x14ac:dyDescent="0.25">
      <c r="B616" s="11"/>
      <c r="C616" s="205"/>
      <c r="D616" s="205"/>
      <c r="E616" s="205"/>
      <c r="F616" s="205"/>
      <c r="G616" s="188"/>
      <c r="H616" s="188"/>
      <c r="I616" s="14"/>
      <c r="K616" s="81"/>
    </row>
    <row r="617" spans="2:13" x14ac:dyDescent="0.25">
      <c r="B617" s="32" t="s">
        <v>4873</v>
      </c>
      <c r="C617" s="332" t="s">
        <v>4874</v>
      </c>
      <c r="D617" s="332"/>
      <c r="E617" s="332" t="s">
        <v>2008</v>
      </c>
      <c r="F617" s="332"/>
      <c r="G617" s="255" t="s">
        <v>4875</v>
      </c>
      <c r="H617" s="255"/>
      <c r="I617" s="14"/>
      <c r="K617" s="81"/>
    </row>
    <row r="618" spans="2:13" x14ac:dyDescent="0.25">
      <c r="B618" s="32"/>
      <c r="C618" s="207"/>
      <c r="D618" s="207"/>
      <c r="E618" s="207"/>
      <c r="F618" s="207"/>
      <c r="G618" s="191"/>
      <c r="H618" s="191"/>
      <c r="I618" s="14"/>
      <c r="K618" s="81"/>
    </row>
    <row r="619" spans="2:13" x14ac:dyDescent="0.25">
      <c r="B619" s="11" t="s">
        <v>4876</v>
      </c>
      <c r="C619" s="323" t="s">
        <v>391</v>
      </c>
      <c r="D619" s="323"/>
      <c r="E619" s="323" t="s">
        <v>392</v>
      </c>
      <c r="F619" s="323"/>
      <c r="G619" s="252" t="s">
        <v>374</v>
      </c>
      <c r="H619" s="252"/>
      <c r="I619" s="14"/>
      <c r="K619" s="81"/>
    </row>
    <row r="620" spans="2:13" ht="15.75" customHeight="1" x14ac:dyDescent="0.25">
      <c r="B620" s="11"/>
      <c r="C620" s="205"/>
      <c r="D620" s="205"/>
      <c r="E620" s="205"/>
      <c r="F620" s="205"/>
      <c r="G620" s="252"/>
      <c r="H620" s="252"/>
      <c r="I620" s="14"/>
      <c r="K620" s="81"/>
    </row>
    <row r="621" spans="2:13" x14ac:dyDescent="0.25">
      <c r="B621" s="217" t="s">
        <v>401</v>
      </c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9"/>
    </row>
    <row r="622" spans="2:13" x14ac:dyDescent="0.25">
      <c r="B622" s="3" t="s">
        <v>402</v>
      </c>
      <c r="C622" s="232" t="s">
        <v>403</v>
      </c>
      <c r="D622" s="232"/>
      <c r="E622" s="232" t="s">
        <v>467</v>
      </c>
      <c r="F622" s="232"/>
      <c r="G622" s="232" t="s">
        <v>405</v>
      </c>
      <c r="H622" s="232"/>
      <c r="I622" s="232" t="s">
        <v>406</v>
      </c>
      <c r="J622" s="232"/>
      <c r="K622" s="234" t="s">
        <v>468</v>
      </c>
      <c r="L622" s="235"/>
      <c r="M622" s="236"/>
    </row>
    <row r="623" spans="2:13" ht="15.75" thickBot="1" x14ac:dyDescent="0.3">
      <c r="B623" s="5" t="s">
        <v>4877</v>
      </c>
      <c r="C623" s="237">
        <v>0.37</v>
      </c>
      <c r="D623" s="238"/>
      <c r="E623" s="239">
        <v>0.12</v>
      </c>
      <c r="F623" s="238"/>
      <c r="G623" s="240"/>
      <c r="H623" s="240"/>
      <c r="I623" s="241"/>
      <c r="J623" s="241"/>
      <c r="K623" s="242"/>
      <c r="L623" s="243"/>
      <c r="M623" s="244"/>
    </row>
    <row r="624" spans="2:13" ht="15.75" thickBot="1" x14ac:dyDescent="0.3">
      <c r="B624" s="1"/>
      <c r="C624" s="1"/>
      <c r="D624" s="1"/>
      <c r="E624" s="1"/>
      <c r="F624" s="1"/>
      <c r="G624" s="1"/>
      <c r="H624" s="1"/>
    </row>
    <row r="625" spans="2:13" x14ac:dyDescent="0.25">
      <c r="B625" s="217" t="s">
        <v>408</v>
      </c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9"/>
    </row>
    <row r="626" spans="2:13" x14ac:dyDescent="0.25">
      <c r="B626" s="3" t="s">
        <v>4878</v>
      </c>
      <c r="C626" s="232" t="s">
        <v>4879</v>
      </c>
      <c r="D626" s="232"/>
      <c r="E626" s="233" t="s">
        <v>4880</v>
      </c>
      <c r="F626" s="233"/>
      <c r="G626" s="233" t="s">
        <v>4881</v>
      </c>
      <c r="H626" s="233"/>
      <c r="I626" s="233" t="s">
        <v>4882</v>
      </c>
      <c r="J626" s="233"/>
      <c r="K626" s="232" t="s">
        <v>4883</v>
      </c>
      <c r="L626" s="232"/>
      <c r="M626" s="269"/>
    </row>
    <row r="627" spans="2:13" ht="15.75" thickBot="1" x14ac:dyDescent="0.3">
      <c r="B627" s="5" t="s">
        <v>4884</v>
      </c>
      <c r="C627" s="240" t="s">
        <v>4885</v>
      </c>
      <c r="D627" s="240"/>
      <c r="E627" s="266" t="s">
        <v>4886</v>
      </c>
      <c r="F627" s="266"/>
      <c r="G627" s="239" t="s">
        <v>4887</v>
      </c>
      <c r="H627" s="238"/>
      <c r="I627" s="237" t="s">
        <v>4888</v>
      </c>
      <c r="J627" s="238"/>
      <c r="K627" s="240" t="s">
        <v>4889</v>
      </c>
      <c r="L627" s="240"/>
      <c r="M627" s="267"/>
    </row>
    <row r="629" spans="2:13" ht="23.25" x14ac:dyDescent="0.35">
      <c r="B629" s="29" t="s">
        <v>334</v>
      </c>
      <c r="C629" s="229" t="s">
        <v>33</v>
      </c>
      <c r="D629" s="229"/>
      <c r="E629" s="229"/>
      <c r="F629" s="229"/>
      <c r="G629" s="229"/>
      <c r="H629" s="229"/>
      <c r="I629" s="229"/>
      <c r="J629" s="229"/>
    </row>
    <row r="630" spans="2:13" ht="18" x14ac:dyDescent="0.25">
      <c r="B630" s="12" t="s">
        <v>335</v>
      </c>
      <c r="C630" s="195" t="s">
        <v>4284</v>
      </c>
      <c r="D630" s="228" t="s">
        <v>427</v>
      </c>
      <c r="E630" s="228"/>
      <c r="F630" s="1" t="s">
        <v>2096</v>
      </c>
      <c r="L630" s="12" t="s">
        <v>339</v>
      </c>
      <c r="M630" s="78" t="s">
        <v>4890</v>
      </c>
    </row>
    <row r="632" spans="2:13" x14ac:dyDescent="0.25">
      <c r="B632" s="2" t="s">
        <v>341</v>
      </c>
      <c r="C632" s="250" t="s">
        <v>805</v>
      </c>
      <c r="D632" s="250"/>
      <c r="E632" s="250" t="s">
        <v>343</v>
      </c>
      <c r="F632" s="250"/>
      <c r="G632" s="250" t="s">
        <v>954</v>
      </c>
      <c r="H632" s="250"/>
      <c r="I632" s="228" t="s">
        <v>345</v>
      </c>
      <c r="J632" s="228"/>
      <c r="K632" s="228"/>
      <c r="L632" s="228"/>
      <c r="M632" s="228"/>
    </row>
    <row r="633" spans="2:13" x14ac:dyDescent="0.25">
      <c r="C633" s="251"/>
      <c r="D633" s="251"/>
      <c r="E633" s="251"/>
      <c r="F633" s="251"/>
      <c r="G633" s="251"/>
      <c r="H633" s="251"/>
      <c r="I633" s="7"/>
      <c r="J633" s="7"/>
      <c r="K633" s="7"/>
      <c r="L633" s="7"/>
      <c r="M633" s="7"/>
    </row>
    <row r="634" spans="2:13" x14ac:dyDescent="0.25">
      <c r="B634" s="11" t="s">
        <v>4891</v>
      </c>
      <c r="C634" s="323" t="s">
        <v>2057</v>
      </c>
      <c r="D634" s="323" t="s">
        <v>744</v>
      </c>
      <c r="E634" s="252" t="s">
        <v>4892</v>
      </c>
      <c r="F634" s="252" t="s">
        <v>508</v>
      </c>
      <c r="G634" s="252" t="s">
        <v>4893</v>
      </c>
      <c r="H634" s="252" t="s">
        <v>390</v>
      </c>
      <c r="I634" s="14" t="s">
        <v>4894</v>
      </c>
      <c r="J634" s="7"/>
      <c r="K634" s="7"/>
      <c r="L634" s="7"/>
      <c r="M634" s="7"/>
    </row>
    <row r="635" spans="2:13" x14ac:dyDescent="0.25">
      <c r="B635" s="11" t="s">
        <v>4895</v>
      </c>
      <c r="C635" s="205"/>
      <c r="D635" s="205"/>
      <c r="E635" s="252"/>
      <c r="F635" s="252"/>
      <c r="G635" s="252"/>
      <c r="H635" s="252"/>
      <c r="I635" s="14" t="s">
        <v>4896</v>
      </c>
      <c r="J635" s="7"/>
      <c r="K635" s="7"/>
      <c r="L635" s="7"/>
      <c r="M635" s="7"/>
    </row>
    <row r="636" spans="2:13" x14ac:dyDescent="0.25">
      <c r="B636" s="1" t="s">
        <v>454</v>
      </c>
      <c r="C636" s="290" t="s">
        <v>744</v>
      </c>
      <c r="D636" s="290" t="s">
        <v>390</v>
      </c>
      <c r="E636" s="253" t="s">
        <v>1131</v>
      </c>
      <c r="F636" s="253" t="s">
        <v>392</v>
      </c>
      <c r="G636" s="253" t="s">
        <v>4897</v>
      </c>
      <c r="H636" s="253" t="s">
        <v>789</v>
      </c>
      <c r="I636" s="14" t="s">
        <v>4898</v>
      </c>
      <c r="J636" s="7"/>
      <c r="K636" s="7"/>
      <c r="L636" s="7"/>
      <c r="M636" s="7"/>
    </row>
    <row r="637" spans="2:13" x14ac:dyDescent="0.25">
      <c r="B637" s="1"/>
      <c r="C637" s="189"/>
      <c r="D637" s="189"/>
      <c r="E637" s="253"/>
      <c r="F637" s="253"/>
      <c r="G637" s="253"/>
      <c r="H637" s="253"/>
      <c r="I637" s="14" t="s">
        <v>4899</v>
      </c>
      <c r="J637" s="7"/>
      <c r="K637" s="7"/>
      <c r="L637" s="7"/>
      <c r="M637" s="7"/>
    </row>
    <row r="638" spans="2:13" x14ac:dyDescent="0.25">
      <c r="B638" s="11" t="s">
        <v>660</v>
      </c>
      <c r="C638" s="323" t="s">
        <v>744</v>
      </c>
      <c r="D638" s="323" t="s">
        <v>744</v>
      </c>
      <c r="E638" s="252" t="s">
        <v>1131</v>
      </c>
      <c r="F638" s="252" t="s">
        <v>508</v>
      </c>
      <c r="G638" s="252" t="s">
        <v>4897</v>
      </c>
      <c r="H638" s="252" t="s">
        <v>390</v>
      </c>
      <c r="I638" s="14" t="s">
        <v>4900</v>
      </c>
      <c r="J638" s="7"/>
      <c r="K638" s="80"/>
      <c r="L638" s="7"/>
      <c r="M638" s="7"/>
    </row>
    <row r="639" spans="2:13" x14ac:dyDescent="0.25">
      <c r="B639" s="11"/>
      <c r="C639" s="188"/>
      <c r="D639" s="188"/>
      <c r="E639" s="252"/>
      <c r="F639" s="252"/>
      <c r="G639" s="252"/>
      <c r="H639" s="252"/>
      <c r="I639" s="14" t="s">
        <v>4901</v>
      </c>
      <c r="J639" s="7"/>
      <c r="K639" s="80"/>
      <c r="L639" s="7"/>
      <c r="M639" s="7"/>
    </row>
    <row r="640" spans="2:13" x14ac:dyDescent="0.25">
      <c r="B640" s="1" t="s">
        <v>1046</v>
      </c>
      <c r="C640" s="290" t="s">
        <v>516</v>
      </c>
      <c r="D640" s="290" t="s">
        <v>4356</v>
      </c>
      <c r="E640" s="253" t="s">
        <v>2033</v>
      </c>
      <c r="F640" s="253" t="s">
        <v>854</v>
      </c>
      <c r="G640" s="253" t="s">
        <v>1127</v>
      </c>
      <c r="H640" s="253" t="s">
        <v>1443</v>
      </c>
      <c r="I640" s="14" t="s">
        <v>4902</v>
      </c>
      <c r="J640" s="7"/>
      <c r="K640" s="80"/>
      <c r="L640" s="7"/>
      <c r="M640" s="7"/>
    </row>
    <row r="641" spans="2:13" x14ac:dyDescent="0.25">
      <c r="B641" s="1"/>
      <c r="C641" s="189"/>
      <c r="D641" s="189"/>
      <c r="E641" s="253"/>
      <c r="F641" s="253"/>
      <c r="G641" s="253"/>
      <c r="H641" s="253"/>
      <c r="I641" s="14" t="s">
        <v>4903</v>
      </c>
      <c r="J641" s="7"/>
      <c r="K641" s="80"/>
      <c r="L641" s="7"/>
      <c r="M641" s="7"/>
    </row>
    <row r="642" spans="2:13" x14ac:dyDescent="0.25">
      <c r="B642" s="11" t="s">
        <v>4904</v>
      </c>
      <c r="C642" s="323" t="s">
        <v>516</v>
      </c>
      <c r="D642" s="323" t="s">
        <v>744</v>
      </c>
      <c r="E642" s="252" t="s">
        <v>2033</v>
      </c>
      <c r="F642" s="252" t="s">
        <v>508</v>
      </c>
      <c r="G642" s="252" t="s">
        <v>1127</v>
      </c>
      <c r="H642" s="252" t="s">
        <v>390</v>
      </c>
      <c r="I642" s="14" t="s">
        <v>4905</v>
      </c>
      <c r="K642" s="80"/>
      <c r="L642" s="7"/>
      <c r="M642" s="7"/>
    </row>
    <row r="643" spans="2:13" x14ac:dyDescent="0.25">
      <c r="B643" s="11"/>
      <c r="C643" s="188"/>
      <c r="D643" s="188"/>
      <c r="E643" s="252"/>
      <c r="F643" s="252"/>
      <c r="G643" s="252"/>
      <c r="H643" s="252"/>
      <c r="I643" s="14" t="s">
        <v>4906</v>
      </c>
      <c r="J643" s="7"/>
      <c r="K643" s="80"/>
      <c r="L643" s="7"/>
      <c r="M643" s="7"/>
    </row>
    <row r="644" spans="2:13" x14ac:dyDescent="0.25">
      <c r="B644" s="1" t="s">
        <v>889</v>
      </c>
      <c r="C644" s="290" t="s">
        <v>516</v>
      </c>
      <c r="D644" s="290" t="s">
        <v>4356</v>
      </c>
      <c r="E644" s="253" t="s">
        <v>2033</v>
      </c>
      <c r="F644" s="253" t="s">
        <v>854</v>
      </c>
      <c r="G644" s="253" t="s">
        <v>1127</v>
      </c>
      <c r="H644" s="253" t="s">
        <v>1443</v>
      </c>
      <c r="I644" s="14" t="s">
        <v>4907</v>
      </c>
      <c r="J644" s="14"/>
      <c r="K644" s="80"/>
      <c r="L644" s="7"/>
      <c r="M644" s="7"/>
    </row>
    <row r="645" spans="2:13" x14ac:dyDescent="0.25">
      <c r="B645" s="1"/>
      <c r="C645" s="199"/>
      <c r="D645" s="199"/>
      <c r="E645" s="253"/>
      <c r="F645" s="253"/>
      <c r="G645" s="253"/>
      <c r="H645" s="253"/>
      <c r="I645" s="14" t="s">
        <v>4908</v>
      </c>
      <c r="J645" s="14"/>
      <c r="K645" s="80"/>
      <c r="L645" s="7"/>
      <c r="M645" s="7"/>
    </row>
    <row r="646" spans="2:13" x14ac:dyDescent="0.25">
      <c r="B646" s="11" t="s">
        <v>518</v>
      </c>
      <c r="C646" s="323" t="s">
        <v>516</v>
      </c>
      <c r="D646" s="323" t="s">
        <v>657</v>
      </c>
      <c r="E646" s="252" t="s">
        <v>2033</v>
      </c>
      <c r="F646" s="252" t="s">
        <v>508</v>
      </c>
      <c r="G646" s="252" t="s">
        <v>1127</v>
      </c>
      <c r="H646" s="252" t="s">
        <v>390</v>
      </c>
      <c r="I646" s="14" t="s">
        <v>4909</v>
      </c>
      <c r="K646" s="80"/>
      <c r="L646" s="7"/>
      <c r="M646" s="7"/>
    </row>
    <row r="647" spans="2:13" x14ac:dyDescent="0.25">
      <c r="B647" s="11"/>
      <c r="C647" s="205"/>
      <c r="D647" s="205"/>
      <c r="E647" s="252"/>
      <c r="F647" s="252"/>
      <c r="G647" s="252"/>
      <c r="H647" s="252"/>
      <c r="I647" s="14" t="s">
        <v>4910</v>
      </c>
      <c r="K647" s="81"/>
    </row>
    <row r="648" spans="2:13" x14ac:dyDescent="0.25">
      <c r="B648" s="1" t="s">
        <v>677</v>
      </c>
      <c r="C648" s="290" t="s">
        <v>789</v>
      </c>
      <c r="D648" s="290" t="s">
        <v>495</v>
      </c>
      <c r="E648" s="253" t="s">
        <v>400</v>
      </c>
      <c r="F648" s="253" t="s">
        <v>2708</v>
      </c>
      <c r="G648" s="253" t="s">
        <v>1019</v>
      </c>
      <c r="H648" s="253" t="s">
        <v>437</v>
      </c>
      <c r="I648" s="14" t="s">
        <v>4911</v>
      </c>
      <c r="K648" s="81"/>
    </row>
    <row r="649" spans="2:13" x14ac:dyDescent="0.25">
      <c r="B649" s="1"/>
      <c r="C649" s="199"/>
      <c r="D649" s="199"/>
      <c r="E649" s="189"/>
      <c r="F649" s="189"/>
      <c r="G649" s="189"/>
      <c r="H649" s="189"/>
      <c r="I649" s="14" t="s">
        <v>4912</v>
      </c>
      <c r="K649" s="81"/>
    </row>
    <row r="650" spans="2:13" x14ac:dyDescent="0.25">
      <c r="B650" s="32"/>
      <c r="C650" s="332"/>
      <c r="D650" s="332" t="s">
        <v>657</v>
      </c>
      <c r="E650" s="255"/>
      <c r="F650" s="255" t="s">
        <v>486</v>
      </c>
      <c r="G650" s="255"/>
      <c r="H650" s="255" t="s">
        <v>4369</v>
      </c>
      <c r="I650" s="14" t="s">
        <v>2115</v>
      </c>
      <c r="K650" s="81"/>
    </row>
    <row r="651" spans="2:13" x14ac:dyDescent="0.25">
      <c r="B651" s="32"/>
      <c r="C651" s="207"/>
      <c r="D651" s="207"/>
      <c r="E651" s="255"/>
      <c r="F651" s="255"/>
      <c r="G651" s="255"/>
      <c r="H651" s="255"/>
      <c r="I651" s="14" t="s">
        <v>3291</v>
      </c>
      <c r="K651" s="81"/>
    </row>
    <row r="652" spans="2:13" x14ac:dyDescent="0.25">
      <c r="B652" s="1"/>
      <c r="C652" s="290"/>
      <c r="D652" s="290" t="s">
        <v>495</v>
      </c>
      <c r="E652" s="253"/>
      <c r="F652" s="253" t="s">
        <v>2708</v>
      </c>
      <c r="G652" s="253"/>
      <c r="H652" s="253" t="s">
        <v>437</v>
      </c>
      <c r="I652" s="14" t="s">
        <v>4201</v>
      </c>
      <c r="K652" s="81"/>
    </row>
    <row r="653" spans="2:13" ht="15.75" thickBot="1" x14ac:dyDescent="0.3">
      <c r="B653" s="1"/>
      <c r="C653" s="199"/>
      <c r="D653" s="199"/>
      <c r="E653" s="189"/>
      <c r="F653" s="189"/>
      <c r="G653" s="189"/>
      <c r="H653" s="189"/>
      <c r="I653" s="14" t="s">
        <v>612</v>
      </c>
      <c r="K653" s="81"/>
    </row>
    <row r="654" spans="2:13" x14ac:dyDescent="0.25">
      <c r="B654" s="217" t="s">
        <v>401</v>
      </c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9"/>
    </row>
    <row r="655" spans="2:13" x14ac:dyDescent="0.25">
      <c r="B655" s="3" t="s">
        <v>402</v>
      </c>
      <c r="C655" s="232" t="s">
        <v>403</v>
      </c>
      <c r="D655" s="232"/>
      <c r="E655" s="232" t="s">
        <v>467</v>
      </c>
      <c r="F655" s="232"/>
      <c r="G655" s="232" t="s">
        <v>405</v>
      </c>
      <c r="H655" s="232"/>
      <c r="I655" s="232" t="s">
        <v>406</v>
      </c>
      <c r="J655" s="232"/>
      <c r="K655" s="234" t="s">
        <v>468</v>
      </c>
      <c r="L655" s="235"/>
      <c r="M655" s="236"/>
    </row>
    <row r="656" spans="2:13" ht="15.75" thickBot="1" x14ac:dyDescent="0.3">
      <c r="B656" s="5"/>
      <c r="C656" s="237"/>
      <c r="D656" s="238"/>
      <c r="E656" s="239">
        <v>0.75</v>
      </c>
      <c r="F656" s="238"/>
      <c r="G656" s="240"/>
      <c r="H656" s="240"/>
      <c r="I656" s="241"/>
      <c r="J656" s="241"/>
      <c r="K656" s="242"/>
      <c r="L656" s="243"/>
      <c r="M656" s="244"/>
    </row>
    <row r="657" spans="2:13" ht="15.75" thickBot="1" x14ac:dyDescent="0.3">
      <c r="B657" s="1"/>
      <c r="C657" s="1"/>
      <c r="D657" s="1"/>
      <c r="E657" s="1"/>
      <c r="F657" s="1"/>
      <c r="G657" s="1"/>
      <c r="H657" s="1"/>
    </row>
    <row r="658" spans="2:13" x14ac:dyDescent="0.25">
      <c r="B658" s="217" t="s">
        <v>408</v>
      </c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9"/>
    </row>
    <row r="659" spans="2:13" x14ac:dyDescent="0.25">
      <c r="B659" s="3" t="s">
        <v>1726</v>
      </c>
      <c r="C659" s="232" t="s">
        <v>4913</v>
      </c>
      <c r="D659" s="232"/>
      <c r="E659" s="232" t="s">
        <v>4176</v>
      </c>
      <c r="F659" s="232"/>
      <c r="G659" s="232" t="s">
        <v>692</v>
      </c>
      <c r="H659" s="232"/>
      <c r="I659" s="232" t="s">
        <v>4914</v>
      </c>
      <c r="J659" s="232"/>
      <c r="K659" s="232" t="s">
        <v>4915</v>
      </c>
      <c r="L659" s="232"/>
      <c r="M659" s="269"/>
    </row>
    <row r="660" spans="2:13" ht="15.75" thickBot="1" x14ac:dyDescent="0.3">
      <c r="B660" s="5" t="s">
        <v>3918</v>
      </c>
      <c r="C660" s="240" t="s">
        <v>4916</v>
      </c>
      <c r="D660" s="240"/>
      <c r="E660" s="240" t="s">
        <v>4917</v>
      </c>
      <c r="F660" s="240"/>
      <c r="G660" s="239" t="s">
        <v>4918</v>
      </c>
      <c r="H660" s="238"/>
      <c r="I660" s="237" t="s">
        <v>3919</v>
      </c>
      <c r="J660" s="238"/>
      <c r="K660" s="240" t="s">
        <v>4919</v>
      </c>
      <c r="L660" s="240"/>
      <c r="M660" s="267"/>
    </row>
    <row r="662" spans="2:13" ht="23.25" x14ac:dyDescent="0.35">
      <c r="B662" s="29" t="s">
        <v>334</v>
      </c>
      <c r="C662" s="229" t="s">
        <v>38</v>
      </c>
      <c r="D662" s="229"/>
      <c r="E662" s="229"/>
      <c r="F662" s="229"/>
      <c r="G662" s="229"/>
      <c r="H662" s="229"/>
      <c r="I662" s="229"/>
      <c r="J662" s="229"/>
    </row>
    <row r="663" spans="2:13" ht="18" x14ac:dyDescent="0.25">
      <c r="B663" s="12" t="s">
        <v>335</v>
      </c>
      <c r="C663" s="195" t="s">
        <v>4284</v>
      </c>
      <c r="D663" s="228" t="s">
        <v>427</v>
      </c>
      <c r="E663" s="228"/>
      <c r="F663" s="1" t="s">
        <v>3173</v>
      </c>
      <c r="L663" s="12" t="s">
        <v>339</v>
      </c>
      <c r="M663" s="78" t="s">
        <v>4920</v>
      </c>
    </row>
    <row r="665" spans="2:13" x14ac:dyDescent="0.25">
      <c r="B665" s="2" t="s">
        <v>341</v>
      </c>
      <c r="C665" s="250" t="s">
        <v>805</v>
      </c>
      <c r="D665" s="250"/>
      <c r="E665" s="250" t="s">
        <v>343</v>
      </c>
      <c r="F665" s="250"/>
      <c r="G665" s="250" t="s">
        <v>954</v>
      </c>
      <c r="H665" s="250"/>
      <c r="I665" s="228" t="s">
        <v>345</v>
      </c>
      <c r="J665" s="228"/>
      <c r="K665" s="228"/>
      <c r="L665" s="228"/>
      <c r="M665" s="228"/>
    </row>
    <row r="666" spans="2:13" x14ac:dyDescent="0.25">
      <c r="C666" s="251"/>
      <c r="D666" s="251"/>
      <c r="E666" s="251"/>
      <c r="F666" s="251"/>
      <c r="G666" s="251"/>
      <c r="H666" s="251"/>
      <c r="I666" s="7"/>
      <c r="J666" s="7"/>
      <c r="K666" s="7"/>
      <c r="L666" s="7"/>
      <c r="M666" s="7"/>
    </row>
    <row r="667" spans="2:13" x14ac:dyDescent="0.25">
      <c r="B667" s="11" t="s">
        <v>397</v>
      </c>
      <c r="C667" s="323" t="s">
        <v>4921</v>
      </c>
      <c r="D667" s="323" t="s">
        <v>744</v>
      </c>
      <c r="E667" s="252" t="s">
        <v>2780</v>
      </c>
      <c r="F667" s="252" t="s">
        <v>508</v>
      </c>
      <c r="G667" s="252" t="s">
        <v>2127</v>
      </c>
      <c r="H667" s="252" t="s">
        <v>390</v>
      </c>
      <c r="I667" s="14" t="s">
        <v>4922</v>
      </c>
      <c r="J667" s="7"/>
      <c r="K667" s="7"/>
      <c r="L667" s="7"/>
      <c r="M667" s="7"/>
    </row>
    <row r="668" spans="2:13" x14ac:dyDescent="0.25">
      <c r="B668" s="11"/>
      <c r="C668" s="205"/>
      <c r="D668" s="205"/>
      <c r="E668" s="252"/>
      <c r="F668" s="252"/>
      <c r="G668" s="252"/>
      <c r="H668" s="252"/>
      <c r="I668" s="14" t="s">
        <v>4923</v>
      </c>
      <c r="J668" s="7"/>
      <c r="K668" s="7"/>
      <c r="L668" s="7"/>
      <c r="M668" s="7"/>
    </row>
    <row r="669" spans="2:13" x14ac:dyDescent="0.25">
      <c r="B669" s="1" t="s">
        <v>4924</v>
      </c>
      <c r="C669" s="290" t="s">
        <v>2649</v>
      </c>
      <c r="D669" s="290" t="s">
        <v>390</v>
      </c>
      <c r="E669" s="253" t="s">
        <v>2002</v>
      </c>
      <c r="F669" s="253" t="s">
        <v>392</v>
      </c>
      <c r="G669" s="253" t="s">
        <v>2265</v>
      </c>
      <c r="H669" s="253" t="s">
        <v>789</v>
      </c>
      <c r="I669" s="14" t="s">
        <v>4925</v>
      </c>
      <c r="J669" s="7"/>
      <c r="K669" s="7"/>
      <c r="L669" s="7"/>
      <c r="M669" s="7"/>
    </row>
    <row r="670" spans="2:13" x14ac:dyDescent="0.25">
      <c r="B670" s="1"/>
      <c r="C670" s="189"/>
      <c r="D670" s="189"/>
      <c r="E670" s="253"/>
      <c r="F670" s="253"/>
      <c r="G670" s="253"/>
      <c r="H670" s="253"/>
      <c r="I670" s="14" t="s">
        <v>4926</v>
      </c>
      <c r="J670" s="7"/>
      <c r="K670" s="7"/>
      <c r="L670" s="7"/>
      <c r="M670" s="7"/>
    </row>
    <row r="671" spans="2:13" x14ac:dyDescent="0.25">
      <c r="B671" s="11" t="s">
        <v>1408</v>
      </c>
      <c r="C671" s="323" t="s">
        <v>374</v>
      </c>
      <c r="D671" s="323" t="s">
        <v>744</v>
      </c>
      <c r="E671" s="252" t="s">
        <v>1108</v>
      </c>
      <c r="F671" s="252" t="s">
        <v>508</v>
      </c>
      <c r="G671" s="252" t="s">
        <v>1109</v>
      </c>
      <c r="H671" s="252" t="s">
        <v>390</v>
      </c>
      <c r="I671" s="14" t="s">
        <v>4927</v>
      </c>
      <c r="J671" s="7"/>
      <c r="K671" s="80"/>
      <c r="L671" s="7"/>
      <c r="M671" s="7"/>
    </row>
    <row r="672" spans="2:13" x14ac:dyDescent="0.25">
      <c r="B672" s="11"/>
      <c r="C672" s="188"/>
      <c r="D672" s="188"/>
      <c r="E672" s="252"/>
      <c r="F672" s="252"/>
      <c r="G672" s="252"/>
      <c r="H672" s="252"/>
      <c r="I672" s="14" t="s">
        <v>1829</v>
      </c>
      <c r="J672" s="7"/>
      <c r="K672" s="80"/>
      <c r="L672" s="7"/>
      <c r="M672" s="7"/>
    </row>
    <row r="673" spans="2:13" x14ac:dyDescent="0.25">
      <c r="B673" s="1" t="s">
        <v>4928</v>
      </c>
      <c r="C673" s="290" t="s">
        <v>383</v>
      </c>
      <c r="D673" s="290" t="s">
        <v>4356</v>
      </c>
      <c r="E673" s="253" t="s">
        <v>1208</v>
      </c>
      <c r="F673" s="253" t="s">
        <v>854</v>
      </c>
      <c r="G673" s="253" t="s">
        <v>463</v>
      </c>
      <c r="H673" s="253" t="s">
        <v>1443</v>
      </c>
      <c r="I673" s="14" t="s">
        <v>4929</v>
      </c>
      <c r="J673" s="7"/>
      <c r="K673" s="80"/>
      <c r="L673" s="7"/>
      <c r="M673" s="7"/>
    </row>
    <row r="674" spans="2:13" x14ac:dyDescent="0.25">
      <c r="B674" s="1"/>
      <c r="C674" s="189"/>
      <c r="D674" s="189"/>
      <c r="E674" s="253"/>
      <c r="F674" s="253"/>
      <c r="G674" s="253"/>
      <c r="H674" s="253"/>
      <c r="I674" s="14" t="s">
        <v>4930</v>
      </c>
      <c r="J674" s="7"/>
      <c r="K674" s="80"/>
      <c r="L674" s="7"/>
      <c r="M674" s="7"/>
    </row>
    <row r="675" spans="2:13" x14ac:dyDescent="0.25">
      <c r="B675" s="32"/>
      <c r="C675" s="332"/>
      <c r="D675" s="332" t="s">
        <v>744</v>
      </c>
      <c r="E675" s="255"/>
      <c r="F675" s="255" t="s">
        <v>508</v>
      </c>
      <c r="G675" s="255"/>
      <c r="H675" s="255" t="s">
        <v>390</v>
      </c>
      <c r="I675" s="14" t="s">
        <v>4931</v>
      </c>
      <c r="K675" s="80"/>
      <c r="L675" s="7"/>
      <c r="M675" s="7"/>
    </row>
    <row r="676" spans="2:13" x14ac:dyDescent="0.25">
      <c r="B676" s="32"/>
      <c r="C676" s="191"/>
      <c r="D676" s="191"/>
      <c r="E676" s="255"/>
      <c r="F676" s="255"/>
      <c r="G676" s="255"/>
      <c r="H676" s="255"/>
      <c r="I676" s="14" t="s">
        <v>4932</v>
      </c>
      <c r="J676" s="7"/>
      <c r="K676" s="80"/>
      <c r="L676" s="7"/>
      <c r="M676" s="7"/>
    </row>
    <row r="677" spans="2:13" x14ac:dyDescent="0.25">
      <c r="B677" s="1"/>
      <c r="C677" s="290"/>
      <c r="D677" s="290" t="s">
        <v>4356</v>
      </c>
      <c r="E677" s="253"/>
      <c r="F677" s="253" t="s">
        <v>854</v>
      </c>
      <c r="G677" s="253"/>
      <c r="H677" s="253" t="s">
        <v>1443</v>
      </c>
      <c r="I677" s="14" t="s">
        <v>4933</v>
      </c>
      <c r="J677" s="14"/>
      <c r="K677" s="80"/>
      <c r="L677" s="7"/>
      <c r="M677" s="7"/>
    </row>
    <row r="678" spans="2:13" ht="15.75" thickBot="1" x14ac:dyDescent="0.3">
      <c r="B678" s="1"/>
      <c r="C678" s="199"/>
      <c r="D678" s="199"/>
      <c r="E678" s="189"/>
      <c r="F678" s="189"/>
      <c r="G678" s="189"/>
      <c r="H678" s="189"/>
      <c r="I678" s="14" t="s">
        <v>612</v>
      </c>
      <c r="K678" s="81"/>
    </row>
    <row r="679" spans="2:13" x14ac:dyDescent="0.25">
      <c r="B679" s="217" t="s">
        <v>401</v>
      </c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9"/>
    </row>
    <row r="680" spans="2:13" x14ac:dyDescent="0.25">
      <c r="B680" s="3" t="s">
        <v>402</v>
      </c>
      <c r="C680" s="232" t="s">
        <v>403</v>
      </c>
      <c r="D680" s="232"/>
      <c r="E680" s="232" t="s">
        <v>467</v>
      </c>
      <c r="F680" s="232"/>
      <c r="G680" s="232" t="s">
        <v>405</v>
      </c>
      <c r="H680" s="232"/>
      <c r="I680" s="232" t="s">
        <v>406</v>
      </c>
      <c r="J680" s="232"/>
      <c r="K680" s="234" t="s">
        <v>468</v>
      </c>
      <c r="L680" s="235"/>
      <c r="M680" s="236"/>
    </row>
    <row r="681" spans="2:13" ht="15.75" thickBot="1" x14ac:dyDescent="0.3">
      <c r="B681" s="5"/>
      <c r="C681" s="237">
        <v>1</v>
      </c>
      <c r="D681" s="238"/>
      <c r="E681" s="239"/>
      <c r="F681" s="238"/>
      <c r="G681" s="240"/>
      <c r="H681" s="240"/>
      <c r="I681" s="241"/>
      <c r="J681" s="241"/>
      <c r="K681" s="242"/>
      <c r="L681" s="243"/>
      <c r="M681" s="244"/>
    </row>
    <row r="682" spans="2:13" ht="15.75" thickBot="1" x14ac:dyDescent="0.3">
      <c r="B682" s="1"/>
      <c r="C682" s="1"/>
      <c r="D682" s="1"/>
      <c r="E682" s="1"/>
      <c r="F682" s="1"/>
      <c r="G682" s="1"/>
      <c r="H682" s="1"/>
    </row>
    <row r="683" spans="2:13" x14ac:dyDescent="0.25">
      <c r="B683" s="217" t="s">
        <v>408</v>
      </c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9"/>
    </row>
    <row r="684" spans="2:13" x14ac:dyDescent="0.25">
      <c r="B684" s="3" t="s">
        <v>4132</v>
      </c>
      <c r="C684" s="232" t="s">
        <v>4334</v>
      </c>
      <c r="D684" s="232"/>
      <c r="E684" s="268" t="s">
        <v>4934</v>
      </c>
      <c r="F684" s="268"/>
      <c r="G684" s="232" t="s">
        <v>4935</v>
      </c>
      <c r="H684" s="232"/>
      <c r="I684" s="232" t="s">
        <v>4936</v>
      </c>
      <c r="J684" s="232"/>
      <c r="K684" s="232" t="s">
        <v>2198</v>
      </c>
      <c r="L684" s="232"/>
      <c r="M684" s="269"/>
    </row>
    <row r="685" spans="2:13" ht="15.75" thickBot="1" x14ac:dyDescent="0.3">
      <c r="B685" s="5" t="s">
        <v>3918</v>
      </c>
      <c r="C685" s="240" t="s">
        <v>4916</v>
      </c>
      <c r="D685" s="240"/>
      <c r="E685" s="240" t="s">
        <v>2777</v>
      </c>
      <c r="F685" s="240"/>
      <c r="G685" s="239" t="s">
        <v>4937</v>
      </c>
      <c r="H685" s="238"/>
      <c r="I685" s="237" t="s">
        <v>2776</v>
      </c>
      <c r="J685" s="238"/>
      <c r="K685" s="240" t="s">
        <v>2778</v>
      </c>
      <c r="L685" s="240"/>
      <c r="M685" s="267"/>
    </row>
    <row r="687" spans="2:13" ht="23.25" x14ac:dyDescent="0.35">
      <c r="B687" s="29" t="s">
        <v>334</v>
      </c>
      <c r="C687" s="229" t="s">
        <v>63</v>
      </c>
      <c r="D687" s="229"/>
      <c r="E687" s="229"/>
      <c r="F687" s="229"/>
      <c r="G687" s="229"/>
      <c r="H687" s="229"/>
      <c r="I687" s="229"/>
      <c r="J687" s="229"/>
    </row>
    <row r="688" spans="2:13" ht="18" x14ac:dyDescent="0.25">
      <c r="B688" s="12" t="s">
        <v>335</v>
      </c>
      <c r="C688" s="195" t="s">
        <v>4284</v>
      </c>
      <c r="D688" s="228" t="s">
        <v>427</v>
      </c>
      <c r="E688" s="228"/>
      <c r="F688" s="1" t="s">
        <v>3173</v>
      </c>
      <c r="L688" s="12" t="s">
        <v>339</v>
      </c>
      <c r="M688" s="78" t="s">
        <v>4938</v>
      </c>
    </row>
    <row r="690" spans="2:13" x14ac:dyDescent="0.25">
      <c r="B690" s="2" t="s">
        <v>341</v>
      </c>
      <c r="C690" s="250" t="s">
        <v>342</v>
      </c>
      <c r="D690" s="250"/>
      <c r="E690" s="250" t="s">
        <v>343</v>
      </c>
      <c r="F690" s="250"/>
      <c r="G690" s="250" t="s">
        <v>954</v>
      </c>
      <c r="H690" s="250"/>
      <c r="I690" s="228" t="s">
        <v>345</v>
      </c>
      <c r="J690" s="228"/>
      <c r="K690" s="228"/>
      <c r="L690" s="228"/>
      <c r="M690" s="228"/>
    </row>
    <row r="691" spans="2:13" x14ac:dyDescent="0.25">
      <c r="C691" s="251"/>
      <c r="D691" s="251"/>
      <c r="E691" s="251"/>
      <c r="F691" s="251"/>
      <c r="G691" s="251"/>
      <c r="H691" s="251"/>
      <c r="I691" s="7"/>
      <c r="J691" s="7"/>
      <c r="K691" s="7"/>
      <c r="L691" s="7"/>
      <c r="M691" s="7"/>
    </row>
    <row r="692" spans="2:13" x14ac:dyDescent="0.25">
      <c r="B692" s="11" t="s">
        <v>4939</v>
      </c>
      <c r="C692" s="323" t="s">
        <v>4940</v>
      </c>
      <c r="D692" s="323" t="s">
        <v>744</v>
      </c>
      <c r="E692" s="252" t="s">
        <v>4941</v>
      </c>
      <c r="F692" s="252" t="s">
        <v>508</v>
      </c>
      <c r="G692" s="252" t="s">
        <v>4942</v>
      </c>
      <c r="H692" s="252" t="s">
        <v>390</v>
      </c>
      <c r="I692" s="14" t="s">
        <v>4943</v>
      </c>
      <c r="J692" s="7"/>
      <c r="K692" s="7"/>
      <c r="L692" s="7"/>
      <c r="M692" s="7"/>
    </row>
    <row r="693" spans="2:13" x14ac:dyDescent="0.25">
      <c r="B693" s="11"/>
      <c r="C693" s="205"/>
      <c r="D693" s="205"/>
      <c r="E693" s="252"/>
      <c r="F693" s="252"/>
      <c r="G693" s="252"/>
      <c r="H693" s="252"/>
      <c r="I693" s="14" t="s">
        <v>4944</v>
      </c>
      <c r="J693" s="7"/>
      <c r="K693" s="7"/>
      <c r="L693" s="7"/>
      <c r="M693" s="7"/>
    </row>
    <row r="694" spans="2:13" x14ac:dyDescent="0.25">
      <c r="B694" s="1" t="s">
        <v>3146</v>
      </c>
      <c r="C694" s="290" t="s">
        <v>4945</v>
      </c>
      <c r="D694" s="290" t="s">
        <v>390</v>
      </c>
      <c r="E694" s="253" t="s">
        <v>4946</v>
      </c>
      <c r="F694" s="253" t="s">
        <v>392</v>
      </c>
      <c r="G694" s="253" t="s">
        <v>4947</v>
      </c>
      <c r="H694" s="253" t="s">
        <v>789</v>
      </c>
      <c r="I694" s="14" t="s">
        <v>4948</v>
      </c>
      <c r="J694" s="7"/>
      <c r="K694" s="7"/>
      <c r="L694" s="7"/>
      <c r="M694" s="7"/>
    </row>
    <row r="695" spans="2:13" x14ac:dyDescent="0.25">
      <c r="B695" s="1"/>
      <c r="C695" s="189"/>
      <c r="D695" s="189"/>
      <c r="E695" s="253"/>
      <c r="F695" s="253"/>
      <c r="G695" s="253"/>
      <c r="H695" s="253"/>
      <c r="I695" s="14" t="s">
        <v>4949</v>
      </c>
      <c r="J695" s="7"/>
      <c r="K695" s="7"/>
      <c r="L695" s="7"/>
      <c r="M695" s="7"/>
    </row>
    <row r="696" spans="2:13" x14ac:dyDescent="0.25">
      <c r="B696" s="11" t="s">
        <v>4660</v>
      </c>
      <c r="C696" s="323" t="s">
        <v>4950</v>
      </c>
      <c r="D696" s="323" t="s">
        <v>744</v>
      </c>
      <c r="E696" s="252" t="s">
        <v>4951</v>
      </c>
      <c r="F696" s="252" t="s">
        <v>508</v>
      </c>
      <c r="G696" s="252" t="s">
        <v>4952</v>
      </c>
      <c r="H696" s="252" t="s">
        <v>390</v>
      </c>
      <c r="I696" s="14"/>
      <c r="J696" s="7"/>
      <c r="K696" s="80"/>
      <c r="L696" s="7"/>
      <c r="M696" s="7"/>
    </row>
    <row r="697" spans="2:13" x14ac:dyDescent="0.25">
      <c r="B697" s="11"/>
      <c r="C697" s="188"/>
      <c r="D697" s="188"/>
      <c r="E697" s="252"/>
      <c r="F697" s="252"/>
      <c r="G697" s="252"/>
      <c r="H697" s="252"/>
      <c r="I697" s="14"/>
      <c r="J697" s="7"/>
      <c r="K697" s="80"/>
      <c r="L697" s="7"/>
      <c r="M697" s="7"/>
    </row>
    <row r="698" spans="2:13" x14ac:dyDescent="0.25">
      <c r="B698" s="1" t="s">
        <v>4953</v>
      </c>
      <c r="C698" s="290" t="s">
        <v>2921</v>
      </c>
      <c r="D698" s="290" t="s">
        <v>4356</v>
      </c>
      <c r="E698" s="253" t="s">
        <v>2944</v>
      </c>
      <c r="F698" s="253" t="s">
        <v>854</v>
      </c>
      <c r="G698" s="253" t="s">
        <v>4954</v>
      </c>
      <c r="H698" s="253" t="s">
        <v>1443</v>
      </c>
      <c r="I698" s="14"/>
      <c r="J698" s="7"/>
      <c r="K698" s="80"/>
      <c r="L698" s="7"/>
      <c r="M698" s="7"/>
    </row>
    <row r="699" spans="2:13" x14ac:dyDescent="0.25">
      <c r="B699" s="1"/>
      <c r="C699" s="189"/>
      <c r="D699" s="189"/>
      <c r="E699" s="253"/>
      <c r="F699" s="253"/>
      <c r="G699" s="253"/>
      <c r="H699" s="253"/>
      <c r="J699" s="7"/>
      <c r="K699" s="80"/>
      <c r="L699" s="7"/>
      <c r="M699" s="7"/>
    </row>
    <row r="700" spans="2:13" x14ac:dyDescent="0.25">
      <c r="B700" s="11" t="s">
        <v>4955</v>
      </c>
      <c r="C700" s="323" t="s">
        <v>355</v>
      </c>
      <c r="D700" s="323" t="s">
        <v>744</v>
      </c>
      <c r="E700" s="252" t="s">
        <v>1024</v>
      </c>
      <c r="F700" s="252" t="s">
        <v>508</v>
      </c>
      <c r="G700" s="252" t="s">
        <v>400</v>
      </c>
      <c r="H700" s="252" t="s">
        <v>390</v>
      </c>
      <c r="I700" s="14"/>
      <c r="K700" s="80"/>
      <c r="L700" s="7"/>
      <c r="M700" s="7"/>
    </row>
    <row r="701" spans="2:13" x14ac:dyDescent="0.25">
      <c r="B701" s="11"/>
      <c r="C701" s="188"/>
      <c r="D701" s="188"/>
      <c r="E701" s="252"/>
      <c r="F701" s="252"/>
      <c r="G701" s="252"/>
      <c r="H701" s="252"/>
      <c r="I701" s="14"/>
      <c r="J701" s="7"/>
      <c r="K701" s="80"/>
      <c r="L701" s="7"/>
      <c r="M701" s="7"/>
    </row>
    <row r="702" spans="2:13" x14ac:dyDescent="0.25">
      <c r="B702" s="1" t="s">
        <v>1458</v>
      </c>
      <c r="C702" s="290" t="s">
        <v>1455</v>
      </c>
      <c r="D702" s="290" t="s">
        <v>4356</v>
      </c>
      <c r="E702" s="253" t="s">
        <v>1887</v>
      </c>
      <c r="F702" s="253" t="s">
        <v>854</v>
      </c>
      <c r="G702" s="253" t="s">
        <v>4956</v>
      </c>
      <c r="H702" s="253" t="s">
        <v>1443</v>
      </c>
      <c r="I702" s="14"/>
      <c r="J702" s="14"/>
      <c r="K702" s="80"/>
      <c r="L702" s="7"/>
      <c r="M702" s="7"/>
    </row>
    <row r="703" spans="2:13" x14ac:dyDescent="0.25">
      <c r="B703" s="1"/>
      <c r="C703" s="199"/>
      <c r="D703" s="199"/>
      <c r="E703" s="253"/>
      <c r="F703" s="253"/>
      <c r="G703" s="253"/>
      <c r="H703" s="253"/>
      <c r="I703" s="14"/>
      <c r="J703" s="14"/>
      <c r="K703" s="80"/>
      <c r="L703" s="7"/>
      <c r="M703" s="7"/>
    </row>
    <row r="704" spans="2:13" x14ac:dyDescent="0.25">
      <c r="B704" s="11" t="s">
        <v>1046</v>
      </c>
      <c r="C704" s="323" t="s">
        <v>4957</v>
      </c>
      <c r="D704" s="323" t="s">
        <v>657</v>
      </c>
      <c r="E704" s="252" t="s">
        <v>4958</v>
      </c>
      <c r="F704" s="252" t="s">
        <v>486</v>
      </c>
      <c r="G704" s="252" t="s">
        <v>4959</v>
      </c>
      <c r="H704" s="252" t="s">
        <v>4369</v>
      </c>
      <c r="I704" s="14"/>
      <c r="K704" s="80"/>
      <c r="L704" s="7"/>
      <c r="M704" s="7"/>
    </row>
    <row r="705" spans="2:13" x14ac:dyDescent="0.25">
      <c r="B705" s="11"/>
      <c r="C705" s="205"/>
      <c r="D705" s="205"/>
      <c r="E705" s="252"/>
      <c r="F705" s="252"/>
      <c r="G705" s="252"/>
      <c r="H705" s="252"/>
      <c r="I705" s="14"/>
      <c r="K705" s="81"/>
    </row>
    <row r="706" spans="2:13" x14ac:dyDescent="0.25">
      <c r="B706" s="1" t="s">
        <v>518</v>
      </c>
      <c r="C706" s="290" t="s">
        <v>1128</v>
      </c>
      <c r="D706" s="290" t="s">
        <v>495</v>
      </c>
      <c r="E706" s="253" t="s">
        <v>1717</v>
      </c>
      <c r="F706" s="253" t="s">
        <v>2708</v>
      </c>
      <c r="G706" s="253" t="s">
        <v>517</v>
      </c>
      <c r="H706" s="253" t="s">
        <v>437</v>
      </c>
      <c r="I706" s="14"/>
      <c r="K706" s="81"/>
    </row>
    <row r="707" spans="2:13" x14ac:dyDescent="0.25">
      <c r="B707" s="1"/>
      <c r="C707" s="199"/>
      <c r="D707" s="199"/>
      <c r="E707" s="189"/>
      <c r="F707" s="189"/>
      <c r="G707" s="189"/>
      <c r="H707" s="189"/>
      <c r="I707" s="14"/>
      <c r="K707" s="81"/>
    </row>
    <row r="708" spans="2:13" x14ac:dyDescent="0.25">
      <c r="B708" s="11" t="s">
        <v>2153</v>
      </c>
      <c r="C708" s="323" t="s">
        <v>4960</v>
      </c>
      <c r="D708" s="323" t="s">
        <v>657</v>
      </c>
      <c r="E708" s="252" t="s">
        <v>4961</v>
      </c>
      <c r="F708" s="252" t="s">
        <v>486</v>
      </c>
      <c r="G708" s="252" t="s">
        <v>4962</v>
      </c>
      <c r="H708" s="252" t="s">
        <v>4369</v>
      </c>
      <c r="I708" s="14"/>
      <c r="K708" s="81"/>
    </row>
    <row r="709" spans="2:13" x14ac:dyDescent="0.25">
      <c r="B709" s="11"/>
      <c r="C709" s="205"/>
      <c r="D709" s="205"/>
      <c r="E709" s="252"/>
      <c r="F709" s="252"/>
      <c r="G709" s="252"/>
      <c r="H709" s="252"/>
      <c r="I709" s="14"/>
      <c r="K709" s="81"/>
    </row>
    <row r="710" spans="2:13" x14ac:dyDescent="0.25">
      <c r="B710" s="1" t="s">
        <v>4500</v>
      </c>
      <c r="C710" s="290" t="s">
        <v>2008</v>
      </c>
      <c r="D710" s="290" t="s">
        <v>495</v>
      </c>
      <c r="E710" s="253" t="s">
        <v>4963</v>
      </c>
      <c r="F710" s="253" t="s">
        <v>2708</v>
      </c>
      <c r="G710" s="253" t="s">
        <v>4875</v>
      </c>
      <c r="H710" s="253" t="s">
        <v>437</v>
      </c>
      <c r="I710" s="14"/>
      <c r="K710" s="81"/>
    </row>
    <row r="711" spans="2:13" x14ac:dyDescent="0.25">
      <c r="B711" s="1" t="s">
        <v>4653</v>
      </c>
      <c r="C711" s="199"/>
      <c r="D711" s="199"/>
      <c r="E711" s="189"/>
      <c r="F711" s="189"/>
      <c r="G711" s="189"/>
      <c r="H711" s="189"/>
      <c r="I711" s="14"/>
      <c r="K711" s="81"/>
    </row>
    <row r="712" spans="2:13" x14ac:dyDescent="0.25">
      <c r="B712" s="11" t="s">
        <v>4202</v>
      </c>
      <c r="C712" s="323" t="s">
        <v>2104</v>
      </c>
      <c r="D712" s="323" t="s">
        <v>657</v>
      </c>
      <c r="E712" s="252" t="s">
        <v>2178</v>
      </c>
      <c r="F712" s="252" t="s">
        <v>486</v>
      </c>
      <c r="G712" s="252" t="s">
        <v>1915</v>
      </c>
      <c r="H712" s="252" t="s">
        <v>4369</v>
      </c>
      <c r="I712" s="14"/>
      <c r="K712" s="81"/>
    </row>
    <row r="713" spans="2:13" ht="15.75" thickBot="1" x14ac:dyDescent="0.3">
      <c r="B713" s="11"/>
      <c r="C713" s="205"/>
      <c r="D713" s="205"/>
      <c r="E713" s="252"/>
      <c r="F713" s="252"/>
      <c r="G713" s="252"/>
      <c r="H713" s="252"/>
      <c r="I713" s="14"/>
      <c r="K713" s="81"/>
    </row>
    <row r="714" spans="2:13" x14ac:dyDescent="0.25">
      <c r="B714" s="217" t="s">
        <v>401</v>
      </c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9"/>
    </row>
    <row r="715" spans="2:13" x14ac:dyDescent="0.25">
      <c r="B715" s="3" t="s">
        <v>402</v>
      </c>
      <c r="C715" s="232" t="s">
        <v>403</v>
      </c>
      <c r="D715" s="232"/>
      <c r="E715" s="232" t="s">
        <v>467</v>
      </c>
      <c r="F715" s="232"/>
      <c r="G715" s="232" t="s">
        <v>405</v>
      </c>
      <c r="H715" s="232"/>
      <c r="I715" s="232" t="s">
        <v>406</v>
      </c>
      <c r="J715" s="232"/>
      <c r="K715" s="234" t="s">
        <v>468</v>
      </c>
      <c r="L715" s="235"/>
      <c r="M715" s="236"/>
    </row>
    <row r="716" spans="2:13" ht="15.75" thickBot="1" x14ac:dyDescent="0.3">
      <c r="B716" s="5">
        <v>0.8891</v>
      </c>
      <c r="C716" s="237"/>
      <c r="D716" s="238"/>
      <c r="E716" s="239">
        <v>0.22</v>
      </c>
      <c r="F716" s="238"/>
      <c r="G716" s="240"/>
      <c r="H716" s="240"/>
      <c r="I716" s="241"/>
      <c r="J716" s="241"/>
      <c r="K716" s="242"/>
      <c r="L716" s="243"/>
      <c r="M716" s="244"/>
    </row>
    <row r="717" spans="2:13" ht="15.75" thickBot="1" x14ac:dyDescent="0.3">
      <c r="B717" s="1"/>
      <c r="C717" s="1"/>
      <c r="D717" s="1"/>
      <c r="E717" s="1"/>
      <c r="F717" s="1"/>
      <c r="G717" s="1"/>
      <c r="H717" s="1"/>
    </row>
    <row r="718" spans="2:13" x14ac:dyDescent="0.25">
      <c r="B718" s="217" t="s">
        <v>408</v>
      </c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9"/>
    </row>
    <row r="719" spans="2:13" x14ac:dyDescent="0.25">
      <c r="B719" s="3" t="s">
        <v>4964</v>
      </c>
      <c r="C719" s="232" t="s">
        <v>4965</v>
      </c>
      <c r="D719" s="232"/>
      <c r="E719" s="233" t="s">
        <v>4966</v>
      </c>
      <c r="F719" s="233"/>
      <c r="G719" s="233" t="s">
        <v>4967</v>
      </c>
      <c r="H719" s="233"/>
      <c r="I719" s="233" t="s">
        <v>4968</v>
      </c>
      <c r="J719" s="233"/>
      <c r="K719" s="232" t="s">
        <v>4969</v>
      </c>
      <c r="L719" s="232"/>
      <c r="M719" s="269"/>
    </row>
    <row r="720" spans="2:13" ht="15.75" thickBot="1" x14ac:dyDescent="0.3">
      <c r="B720" s="5" t="s">
        <v>4970</v>
      </c>
      <c r="C720" s="240" t="s">
        <v>4971</v>
      </c>
      <c r="D720" s="240"/>
      <c r="E720" s="266" t="s">
        <v>2777</v>
      </c>
      <c r="F720" s="266"/>
      <c r="G720" s="239" t="s">
        <v>4972</v>
      </c>
      <c r="H720" s="238"/>
      <c r="I720" s="237" t="s">
        <v>750</v>
      </c>
      <c r="J720" s="238"/>
      <c r="K720" s="240" t="s">
        <v>2778</v>
      </c>
      <c r="L720" s="240"/>
      <c r="M720" s="267"/>
    </row>
    <row r="722" spans="2:13" ht="23.25" x14ac:dyDescent="0.35">
      <c r="B722" s="29" t="s">
        <v>334</v>
      </c>
      <c r="C722" s="229" t="s">
        <v>98</v>
      </c>
      <c r="D722" s="229"/>
      <c r="E722" s="229"/>
      <c r="F722" s="229"/>
      <c r="G722" s="229"/>
      <c r="H722" s="229"/>
      <c r="I722" s="229"/>
      <c r="J722" s="229"/>
    </row>
    <row r="723" spans="2:13" ht="18" x14ac:dyDescent="0.25">
      <c r="B723" s="12" t="s">
        <v>335</v>
      </c>
      <c r="C723" s="195" t="s">
        <v>4284</v>
      </c>
      <c r="D723" s="228" t="s">
        <v>427</v>
      </c>
      <c r="E723" s="228"/>
      <c r="F723" s="1" t="s">
        <v>3173</v>
      </c>
      <c r="L723" s="12" t="s">
        <v>339</v>
      </c>
      <c r="M723" s="78" t="s">
        <v>4973</v>
      </c>
    </row>
    <row r="725" spans="2:13" x14ac:dyDescent="0.25">
      <c r="B725" s="2" t="s">
        <v>341</v>
      </c>
      <c r="C725" s="250" t="s">
        <v>3174</v>
      </c>
      <c r="D725" s="250"/>
      <c r="E725" s="250" t="s">
        <v>343</v>
      </c>
      <c r="F725" s="250"/>
      <c r="G725" s="250" t="s">
        <v>954</v>
      </c>
      <c r="H725" s="250"/>
      <c r="I725" s="228" t="s">
        <v>345</v>
      </c>
      <c r="J725" s="228"/>
      <c r="K725" s="228"/>
      <c r="L725" s="228"/>
      <c r="M725" s="228"/>
    </row>
    <row r="726" spans="2:13" x14ac:dyDescent="0.25">
      <c r="C726" s="251"/>
      <c r="D726" s="251"/>
      <c r="E726" s="251"/>
      <c r="F726" s="251"/>
      <c r="G726" s="251"/>
      <c r="H726" s="251"/>
      <c r="I726" s="7"/>
      <c r="J726" s="7"/>
      <c r="K726" s="7"/>
      <c r="L726" s="7"/>
      <c r="M726" s="7"/>
    </row>
    <row r="727" spans="2:13" x14ac:dyDescent="0.25">
      <c r="B727" s="11" t="s">
        <v>4974</v>
      </c>
      <c r="C727" s="323" t="s">
        <v>4975</v>
      </c>
      <c r="D727" s="323" t="s">
        <v>744</v>
      </c>
      <c r="E727" s="252" t="s">
        <v>4976</v>
      </c>
      <c r="F727" s="252" t="s">
        <v>508</v>
      </c>
      <c r="G727" s="252" t="s">
        <v>4977</v>
      </c>
      <c r="H727" s="252" t="s">
        <v>390</v>
      </c>
      <c r="I727" s="14" t="s">
        <v>4978</v>
      </c>
      <c r="J727" s="7"/>
      <c r="K727" s="7"/>
      <c r="L727" s="7"/>
      <c r="M727" s="7"/>
    </row>
    <row r="728" spans="2:13" x14ac:dyDescent="0.25">
      <c r="B728" s="11"/>
      <c r="C728" s="205"/>
      <c r="D728" s="205"/>
      <c r="E728" s="252"/>
      <c r="F728" s="252"/>
      <c r="G728" s="252"/>
      <c r="H728" s="252"/>
      <c r="I728" s="14" t="s">
        <v>4979</v>
      </c>
      <c r="J728" s="7"/>
      <c r="K728" s="7"/>
      <c r="L728" s="7"/>
      <c r="M728" s="7"/>
    </row>
    <row r="729" spans="2:13" x14ac:dyDescent="0.25">
      <c r="B729" s="1" t="s">
        <v>1458</v>
      </c>
      <c r="C729" s="290" t="s">
        <v>374</v>
      </c>
      <c r="D729" s="290" t="s">
        <v>390</v>
      </c>
      <c r="E729" s="253" t="s">
        <v>399</v>
      </c>
      <c r="F729" s="253" t="s">
        <v>392</v>
      </c>
      <c r="G729" s="253" t="s">
        <v>1497</v>
      </c>
      <c r="H729" s="253" t="s">
        <v>789</v>
      </c>
      <c r="I729" s="14" t="s">
        <v>4980</v>
      </c>
      <c r="J729" s="7"/>
      <c r="K729" s="7"/>
      <c r="L729" s="7"/>
      <c r="M729" s="7"/>
    </row>
    <row r="730" spans="2:13" x14ac:dyDescent="0.25">
      <c r="B730" s="1"/>
      <c r="C730" s="189"/>
      <c r="D730" s="189"/>
      <c r="E730" s="253"/>
      <c r="F730" s="253"/>
      <c r="G730" s="253"/>
      <c r="H730" s="253"/>
      <c r="I730" s="14" t="s">
        <v>4981</v>
      </c>
      <c r="J730" s="7"/>
      <c r="K730" s="7"/>
      <c r="L730" s="7"/>
      <c r="M730" s="7"/>
    </row>
    <row r="731" spans="2:13" x14ac:dyDescent="0.25">
      <c r="B731" s="32"/>
      <c r="C731" s="332"/>
      <c r="D731" s="332" t="s">
        <v>744</v>
      </c>
      <c r="E731" s="255"/>
      <c r="F731" s="255" t="s">
        <v>508</v>
      </c>
      <c r="G731" s="255"/>
      <c r="H731" s="255" t="s">
        <v>390</v>
      </c>
      <c r="I731" s="14" t="s">
        <v>4982</v>
      </c>
      <c r="J731" s="7"/>
      <c r="K731" s="80"/>
      <c r="L731" s="7"/>
      <c r="M731" s="7"/>
    </row>
    <row r="732" spans="2:13" x14ac:dyDescent="0.25">
      <c r="B732" s="32"/>
      <c r="C732" s="191"/>
      <c r="D732" s="191"/>
      <c r="E732" s="255"/>
      <c r="F732" s="255"/>
      <c r="G732" s="255"/>
      <c r="H732" s="255"/>
      <c r="I732" s="14" t="s">
        <v>4983</v>
      </c>
      <c r="J732" s="7"/>
      <c r="K732" s="80"/>
      <c r="L732" s="7"/>
      <c r="M732" s="7"/>
    </row>
    <row r="733" spans="2:13" x14ac:dyDescent="0.25">
      <c r="B733" s="32"/>
      <c r="C733" s="332"/>
      <c r="D733" s="332" t="s">
        <v>4356</v>
      </c>
      <c r="E733" s="255"/>
      <c r="F733" s="255" t="s">
        <v>854</v>
      </c>
      <c r="G733" s="255"/>
      <c r="H733" s="255" t="s">
        <v>1443</v>
      </c>
      <c r="I733" s="14" t="s">
        <v>4984</v>
      </c>
      <c r="J733" s="7"/>
      <c r="K733" s="80"/>
      <c r="L733" s="7"/>
      <c r="M733" s="7"/>
    </row>
    <row r="734" spans="2:13" x14ac:dyDescent="0.25">
      <c r="B734" s="32"/>
      <c r="C734" s="191"/>
      <c r="D734" s="191"/>
      <c r="E734" s="255"/>
      <c r="F734" s="255"/>
      <c r="G734" s="255"/>
      <c r="H734" s="255"/>
      <c r="I734" s="14" t="s">
        <v>4985</v>
      </c>
      <c r="J734" s="7"/>
      <c r="K734" s="80"/>
      <c r="L734" s="7"/>
      <c r="M734" s="7"/>
    </row>
    <row r="735" spans="2:13" x14ac:dyDescent="0.25">
      <c r="B735" s="32"/>
      <c r="C735" s="332"/>
      <c r="D735" s="332" t="s">
        <v>744</v>
      </c>
      <c r="E735" s="255"/>
      <c r="F735" s="255" t="s">
        <v>508</v>
      </c>
      <c r="G735" s="255"/>
      <c r="H735" s="255" t="s">
        <v>390</v>
      </c>
      <c r="I735" s="14" t="s">
        <v>4986</v>
      </c>
      <c r="J735" s="14"/>
      <c r="K735" s="80"/>
      <c r="L735" s="7"/>
      <c r="M735" s="7"/>
    </row>
    <row r="736" spans="2:13" x14ac:dyDescent="0.25">
      <c r="B736" s="32"/>
      <c r="C736" s="191"/>
      <c r="D736" s="191"/>
      <c r="E736" s="255"/>
      <c r="F736" s="255"/>
      <c r="G736" s="255"/>
      <c r="H736" s="255"/>
      <c r="I736" s="14" t="s">
        <v>4987</v>
      </c>
      <c r="J736" s="7"/>
      <c r="K736" s="80"/>
      <c r="L736" s="7"/>
      <c r="M736" s="7"/>
    </row>
    <row r="737" spans="2:13" x14ac:dyDescent="0.25">
      <c r="B737" s="32"/>
      <c r="C737" s="332"/>
      <c r="D737" s="332" t="s">
        <v>4356</v>
      </c>
      <c r="E737" s="255"/>
      <c r="F737" s="255" t="s">
        <v>854</v>
      </c>
      <c r="G737" s="255"/>
      <c r="H737" s="255" t="s">
        <v>1443</v>
      </c>
      <c r="I737" s="14" t="s">
        <v>4988</v>
      </c>
      <c r="J737" s="14"/>
      <c r="K737" s="80"/>
      <c r="L737" s="7"/>
      <c r="M737" s="7"/>
    </row>
    <row r="738" spans="2:13" x14ac:dyDescent="0.25">
      <c r="B738" s="32"/>
      <c r="C738" s="207"/>
      <c r="D738" s="207"/>
      <c r="E738" s="255"/>
      <c r="F738" s="255"/>
      <c r="G738" s="255"/>
      <c r="H738" s="255"/>
      <c r="I738" s="14" t="s">
        <v>4989</v>
      </c>
      <c r="J738" s="14"/>
      <c r="K738" s="80"/>
      <c r="L738" s="7"/>
      <c r="M738" s="7"/>
    </row>
    <row r="739" spans="2:13" x14ac:dyDescent="0.25">
      <c r="B739" s="32"/>
      <c r="C739" s="332"/>
      <c r="D739" s="332" t="s">
        <v>657</v>
      </c>
      <c r="E739" s="255"/>
      <c r="F739" s="255" t="s">
        <v>486</v>
      </c>
      <c r="G739" s="255"/>
      <c r="H739" s="255" t="s">
        <v>4369</v>
      </c>
      <c r="I739" s="14" t="s">
        <v>4990</v>
      </c>
      <c r="J739" s="14"/>
      <c r="K739" s="80"/>
      <c r="L739" s="7"/>
      <c r="M739" s="7"/>
    </row>
    <row r="740" spans="2:13" x14ac:dyDescent="0.25">
      <c r="B740" s="32"/>
      <c r="C740" s="207"/>
      <c r="D740" s="207"/>
      <c r="E740" s="255"/>
      <c r="F740" s="255"/>
      <c r="G740" s="255"/>
      <c r="H740" s="255"/>
      <c r="I740" s="14" t="s">
        <v>4991</v>
      </c>
      <c r="J740" s="14"/>
      <c r="K740" s="81"/>
    </row>
    <row r="741" spans="2:13" x14ac:dyDescent="0.25">
      <c r="B741" s="32"/>
      <c r="C741" s="332"/>
      <c r="D741" s="332" t="s">
        <v>495</v>
      </c>
      <c r="E741" s="255"/>
      <c r="F741" s="255" t="s">
        <v>2708</v>
      </c>
      <c r="G741" s="255"/>
      <c r="H741" s="255" t="s">
        <v>437</v>
      </c>
      <c r="I741" s="14" t="s">
        <v>3194</v>
      </c>
      <c r="J741" s="14"/>
      <c r="K741" s="81"/>
    </row>
    <row r="742" spans="2:13" x14ac:dyDescent="0.25">
      <c r="B742" s="32"/>
      <c r="C742" s="207"/>
      <c r="D742" s="207"/>
      <c r="E742" s="191"/>
      <c r="F742" s="191"/>
      <c r="G742" s="191"/>
      <c r="H742" s="191"/>
      <c r="I742" s="14" t="s">
        <v>4992</v>
      </c>
      <c r="J742" s="14"/>
      <c r="K742" s="81"/>
    </row>
    <row r="743" spans="2:13" x14ac:dyDescent="0.25">
      <c r="B743" s="32"/>
      <c r="C743" s="332"/>
      <c r="D743" s="332" t="s">
        <v>657</v>
      </c>
      <c r="E743" s="255"/>
      <c r="F743" s="255" t="s">
        <v>486</v>
      </c>
      <c r="G743" s="255"/>
      <c r="H743" s="255" t="s">
        <v>4369</v>
      </c>
      <c r="I743" s="14" t="s">
        <v>4993</v>
      </c>
      <c r="J743" s="14" t="s">
        <v>4994</v>
      </c>
      <c r="K743" s="81"/>
    </row>
    <row r="744" spans="2:13" ht="15.75" thickBot="1" x14ac:dyDescent="0.3">
      <c r="B744" s="32"/>
      <c r="C744" s="207"/>
      <c r="D744" s="207"/>
      <c r="E744" s="255"/>
      <c r="F744" s="255"/>
      <c r="G744" s="255"/>
      <c r="H744" s="255"/>
      <c r="I744" s="14" t="s">
        <v>4995</v>
      </c>
      <c r="J744" s="14"/>
      <c r="K744" s="81"/>
    </row>
    <row r="745" spans="2:13" x14ac:dyDescent="0.25">
      <c r="B745" s="217" t="s">
        <v>401</v>
      </c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9"/>
    </row>
    <row r="746" spans="2:13" x14ac:dyDescent="0.25">
      <c r="B746" s="3" t="s">
        <v>402</v>
      </c>
      <c r="C746" s="232" t="s">
        <v>403</v>
      </c>
      <c r="D746" s="232"/>
      <c r="E746" s="232" t="s">
        <v>467</v>
      </c>
      <c r="F746" s="232"/>
      <c r="G746" s="232" t="s">
        <v>405</v>
      </c>
      <c r="H746" s="232"/>
      <c r="I746" s="232" t="s">
        <v>406</v>
      </c>
      <c r="J746" s="232"/>
      <c r="K746" s="234" t="s">
        <v>468</v>
      </c>
      <c r="L746" s="235"/>
      <c r="M746" s="236"/>
    </row>
    <row r="747" spans="2:13" ht="15.75" thickBot="1" x14ac:dyDescent="0.3">
      <c r="B747" s="5"/>
      <c r="C747" s="237"/>
      <c r="D747" s="238"/>
      <c r="E747" s="239">
        <v>0.5</v>
      </c>
      <c r="F747" s="238"/>
      <c r="G747" s="240"/>
      <c r="H747" s="240"/>
      <c r="I747" s="241"/>
      <c r="J747" s="241"/>
      <c r="K747" s="242"/>
      <c r="L747" s="243"/>
      <c r="M747" s="244"/>
    </row>
    <row r="748" spans="2:13" ht="15.75" thickBot="1" x14ac:dyDescent="0.3">
      <c r="B748" s="1"/>
      <c r="C748" s="1"/>
      <c r="D748" s="1"/>
      <c r="E748" s="1"/>
      <c r="F748" s="1"/>
      <c r="G748" s="1"/>
      <c r="H748" s="1"/>
    </row>
    <row r="749" spans="2:13" x14ac:dyDescent="0.25">
      <c r="B749" s="217" t="s">
        <v>408</v>
      </c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9"/>
    </row>
    <row r="750" spans="2:13" x14ac:dyDescent="0.25">
      <c r="B750" s="3" t="s">
        <v>4996</v>
      </c>
      <c r="C750" s="232" t="s">
        <v>2138</v>
      </c>
      <c r="D750" s="232"/>
      <c r="E750" s="232" t="s">
        <v>3890</v>
      </c>
      <c r="F750" s="232"/>
      <c r="G750" s="232" t="s">
        <v>692</v>
      </c>
      <c r="H750" s="232"/>
      <c r="I750" s="232" t="s">
        <v>4997</v>
      </c>
      <c r="J750" s="232"/>
      <c r="K750" s="232" t="s">
        <v>4998</v>
      </c>
      <c r="L750" s="232"/>
      <c r="M750" s="269"/>
    </row>
    <row r="751" spans="2:13" ht="15.75" thickBot="1" x14ac:dyDescent="0.3">
      <c r="B751" s="5" t="s">
        <v>565</v>
      </c>
      <c r="C751" s="240" t="s">
        <v>3739</v>
      </c>
      <c r="D751" s="240"/>
      <c r="E751" s="240" t="s">
        <v>4999</v>
      </c>
      <c r="F751" s="240"/>
      <c r="G751" s="239" t="s">
        <v>5000</v>
      </c>
      <c r="H751" s="238"/>
      <c r="I751" s="237" t="s">
        <v>5001</v>
      </c>
      <c r="J751" s="238"/>
      <c r="K751" s="240" t="s">
        <v>2965</v>
      </c>
      <c r="L751" s="240"/>
      <c r="M751" s="267"/>
    </row>
    <row r="753" spans="2:13" ht="23.25" x14ac:dyDescent="0.35">
      <c r="B753" s="29" t="s">
        <v>334</v>
      </c>
      <c r="C753" s="229" t="s">
        <v>134</v>
      </c>
      <c r="D753" s="229"/>
      <c r="E753" s="229"/>
      <c r="F753" s="229"/>
      <c r="G753" s="229"/>
      <c r="H753" s="229"/>
      <c r="I753" s="229"/>
      <c r="J753" s="229"/>
    </row>
    <row r="754" spans="2:13" ht="18" x14ac:dyDescent="0.25">
      <c r="B754" s="12" t="s">
        <v>335</v>
      </c>
      <c r="C754" s="195" t="s">
        <v>4284</v>
      </c>
      <c r="D754" s="228" t="s">
        <v>427</v>
      </c>
      <c r="E754" s="228"/>
      <c r="F754" s="1" t="s">
        <v>3173</v>
      </c>
      <c r="L754" s="12" t="s">
        <v>339</v>
      </c>
      <c r="M754" s="78" t="s">
        <v>133</v>
      </c>
    </row>
    <row r="756" spans="2:13" x14ac:dyDescent="0.25">
      <c r="B756" s="2" t="s">
        <v>341</v>
      </c>
      <c r="C756" s="250" t="s">
        <v>805</v>
      </c>
      <c r="D756" s="250"/>
      <c r="E756" s="250" t="s">
        <v>343</v>
      </c>
      <c r="F756" s="250"/>
      <c r="G756" s="250" t="s">
        <v>954</v>
      </c>
      <c r="H756" s="250"/>
      <c r="I756" s="228" t="s">
        <v>345</v>
      </c>
      <c r="J756" s="228"/>
      <c r="K756" s="228"/>
      <c r="L756" s="228"/>
      <c r="M756" s="228"/>
    </row>
    <row r="757" spans="2:13" x14ac:dyDescent="0.25">
      <c r="C757" s="251"/>
      <c r="D757" s="251"/>
      <c r="E757" s="251"/>
      <c r="F757" s="251"/>
      <c r="G757" s="251"/>
      <c r="H757" s="251"/>
      <c r="I757" s="7"/>
      <c r="J757" s="7"/>
      <c r="K757" s="7"/>
      <c r="L757" s="7"/>
      <c r="M757" s="7"/>
    </row>
    <row r="758" spans="2:13" x14ac:dyDescent="0.25">
      <c r="B758" s="11" t="s">
        <v>5002</v>
      </c>
      <c r="C758" s="323" t="s">
        <v>5003</v>
      </c>
      <c r="D758" s="323" t="s">
        <v>744</v>
      </c>
      <c r="E758" s="252" t="s">
        <v>3518</v>
      </c>
      <c r="F758" s="252" t="s">
        <v>508</v>
      </c>
      <c r="G758" s="252" t="s">
        <v>5004</v>
      </c>
      <c r="H758" s="252" t="s">
        <v>390</v>
      </c>
      <c r="I758" s="14" t="s">
        <v>5005</v>
      </c>
      <c r="J758" s="7"/>
      <c r="K758" s="7"/>
      <c r="L758" s="7"/>
      <c r="M758" s="7"/>
    </row>
    <row r="759" spans="2:13" x14ac:dyDescent="0.25">
      <c r="B759" s="11"/>
      <c r="C759" s="205"/>
      <c r="D759" s="205"/>
      <c r="E759" s="252"/>
      <c r="F759" s="252"/>
      <c r="G759" s="252"/>
      <c r="H759" s="252"/>
      <c r="I759" s="14" t="s">
        <v>5006</v>
      </c>
      <c r="J759" s="7"/>
      <c r="K759" s="7"/>
      <c r="L759" s="7"/>
      <c r="M759" s="7"/>
    </row>
    <row r="760" spans="2:13" x14ac:dyDescent="0.25">
      <c r="B760" s="1" t="s">
        <v>5007</v>
      </c>
      <c r="C760" s="290" t="s">
        <v>5003</v>
      </c>
      <c r="D760" s="290" t="s">
        <v>390</v>
      </c>
      <c r="E760" s="253" t="s">
        <v>3518</v>
      </c>
      <c r="F760" s="253" t="s">
        <v>392</v>
      </c>
      <c r="G760" s="253" t="s">
        <v>5004</v>
      </c>
      <c r="H760" s="253" t="s">
        <v>789</v>
      </c>
      <c r="I760" s="14" t="s">
        <v>5008</v>
      </c>
      <c r="J760" s="7"/>
      <c r="K760" s="7"/>
      <c r="L760" s="7"/>
      <c r="M760" s="7"/>
    </row>
    <row r="761" spans="2:13" x14ac:dyDescent="0.25">
      <c r="B761" s="1"/>
      <c r="C761" s="189"/>
      <c r="D761" s="189"/>
      <c r="E761" s="253"/>
      <c r="F761" s="253"/>
      <c r="G761" s="253"/>
      <c r="H761" s="253"/>
      <c r="I761" s="14" t="s">
        <v>5009</v>
      </c>
      <c r="J761" s="7"/>
      <c r="K761" s="7"/>
      <c r="L761" s="7"/>
      <c r="M761" s="7"/>
    </row>
    <row r="762" spans="2:13" x14ac:dyDescent="0.25">
      <c r="B762" s="120" t="s">
        <v>5010</v>
      </c>
      <c r="C762" s="331" t="s">
        <v>5003</v>
      </c>
      <c r="D762" s="331" t="s">
        <v>744</v>
      </c>
      <c r="E762" s="254" t="s">
        <v>3518</v>
      </c>
      <c r="F762" s="254" t="s">
        <v>508</v>
      </c>
      <c r="G762" s="254" t="s">
        <v>5004</v>
      </c>
      <c r="H762" s="254" t="s">
        <v>390</v>
      </c>
      <c r="I762" s="14" t="s">
        <v>5011</v>
      </c>
      <c r="J762" s="7"/>
      <c r="K762" s="80"/>
      <c r="L762" s="7"/>
      <c r="M762" s="7"/>
    </row>
    <row r="763" spans="2:13" x14ac:dyDescent="0.25">
      <c r="B763" s="120"/>
      <c r="C763" s="190"/>
      <c r="D763" s="190"/>
      <c r="E763" s="254"/>
      <c r="F763" s="254"/>
      <c r="G763" s="254"/>
      <c r="H763" s="254"/>
      <c r="I763" s="14" t="s">
        <v>2617</v>
      </c>
      <c r="J763" s="7"/>
      <c r="K763" s="80"/>
      <c r="L763" s="7"/>
      <c r="M763" s="7"/>
    </row>
    <row r="764" spans="2:13" x14ac:dyDescent="0.25">
      <c r="B764" s="32"/>
      <c r="C764" s="332"/>
      <c r="D764" s="332" t="s">
        <v>4356</v>
      </c>
      <c r="E764" s="255"/>
      <c r="F764" s="255" t="s">
        <v>854</v>
      </c>
      <c r="G764" s="255"/>
      <c r="H764" s="255" t="s">
        <v>1443</v>
      </c>
      <c r="I764" s="14" t="s">
        <v>5012</v>
      </c>
      <c r="J764" s="7"/>
      <c r="K764" s="80"/>
      <c r="L764" s="7"/>
      <c r="M764" s="7"/>
    </row>
    <row r="765" spans="2:13" x14ac:dyDescent="0.25">
      <c r="B765" s="217" t="s">
        <v>401</v>
      </c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9"/>
    </row>
    <row r="766" spans="2:13" x14ac:dyDescent="0.25">
      <c r="B766" s="3" t="s">
        <v>402</v>
      </c>
      <c r="C766" s="232" t="s">
        <v>403</v>
      </c>
      <c r="D766" s="232"/>
      <c r="E766" s="233" t="s">
        <v>1241</v>
      </c>
      <c r="F766" s="233"/>
      <c r="G766" s="233" t="s">
        <v>404</v>
      </c>
      <c r="H766" s="233"/>
      <c r="I766" s="232" t="s">
        <v>406</v>
      </c>
      <c r="J766" s="232"/>
      <c r="K766" s="234" t="s">
        <v>407</v>
      </c>
      <c r="L766" s="235"/>
      <c r="M766" s="236"/>
    </row>
    <row r="767" spans="2:13" x14ac:dyDescent="0.25">
      <c r="B767" s="5"/>
      <c r="C767" s="237"/>
      <c r="D767" s="238"/>
      <c r="E767" s="239">
        <v>0.24</v>
      </c>
      <c r="F767" s="238"/>
      <c r="G767" s="240">
        <v>0.17</v>
      </c>
      <c r="H767" s="240"/>
      <c r="I767" s="241"/>
      <c r="J767" s="241"/>
      <c r="K767" s="242">
        <v>0.18</v>
      </c>
      <c r="L767" s="243"/>
      <c r="M767" s="244"/>
    </row>
    <row r="768" spans="2:13" x14ac:dyDescent="0.25">
      <c r="B768" s="1"/>
      <c r="C768" s="1"/>
      <c r="D768" s="1"/>
      <c r="E768" s="1"/>
      <c r="F768" s="1"/>
      <c r="G768" s="1"/>
      <c r="H768" s="1"/>
    </row>
    <row r="769" spans="2:13" x14ac:dyDescent="0.25">
      <c r="B769" s="217" t="s">
        <v>408</v>
      </c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9"/>
    </row>
    <row r="770" spans="2:13" x14ac:dyDescent="0.25">
      <c r="B770" s="122" t="s">
        <v>5013</v>
      </c>
      <c r="C770" s="220" t="s">
        <v>5014</v>
      </c>
      <c r="D770" s="220"/>
      <c r="E770" s="221" t="s">
        <v>4306</v>
      </c>
      <c r="F770" s="221"/>
      <c r="G770" s="221" t="s">
        <v>692</v>
      </c>
      <c r="H770" s="221"/>
      <c r="I770" s="220" t="s">
        <v>5015</v>
      </c>
      <c r="J770" s="220"/>
      <c r="K770" s="220" t="s">
        <v>5016</v>
      </c>
      <c r="L770" s="220"/>
      <c r="M770" s="222"/>
    </row>
    <row r="771" spans="2:13" x14ac:dyDescent="0.25">
      <c r="B771" s="123" t="s">
        <v>3918</v>
      </c>
      <c r="C771" s="225" t="s">
        <v>1733</v>
      </c>
      <c r="D771" s="226"/>
      <c r="E771" s="223" t="s">
        <v>5017</v>
      </c>
      <c r="F771" s="223"/>
      <c r="G771" s="223" t="s">
        <v>4916</v>
      </c>
      <c r="H771" s="223"/>
      <c r="I771" s="227" t="s">
        <v>5018</v>
      </c>
      <c r="J771" s="227"/>
      <c r="K771" s="223" t="s">
        <v>5019</v>
      </c>
      <c r="L771" s="223"/>
      <c r="M771" s="224"/>
    </row>
    <row r="772" spans="2:13" x14ac:dyDescent="0.25">
      <c r="B772" s="123" t="s">
        <v>5020</v>
      </c>
      <c r="C772" s="225" t="s">
        <v>422</v>
      </c>
      <c r="D772" s="226"/>
      <c r="E772" s="227" t="s">
        <v>423</v>
      </c>
      <c r="F772" s="227"/>
      <c r="G772" s="223" t="s">
        <v>573</v>
      </c>
      <c r="H772" s="223"/>
      <c r="I772" s="223" t="s">
        <v>574</v>
      </c>
      <c r="J772" s="223"/>
      <c r="K772" s="223" t="s">
        <v>575</v>
      </c>
      <c r="L772" s="223"/>
      <c r="M772" s="224"/>
    </row>
    <row r="774" spans="2:13" ht="20.25" x14ac:dyDescent="0.3">
      <c r="B774" s="29" t="s">
        <v>334</v>
      </c>
      <c r="C774" s="333" t="s">
        <v>130</v>
      </c>
      <c r="D774" s="333"/>
      <c r="E774" s="333"/>
      <c r="F774" s="333"/>
      <c r="G774" s="333"/>
      <c r="H774" s="333"/>
      <c r="I774" s="333"/>
      <c r="J774" s="333"/>
    </row>
    <row r="775" spans="2:13" ht="18" x14ac:dyDescent="0.25">
      <c r="B775" s="12" t="s">
        <v>335</v>
      </c>
      <c r="C775" s="195" t="s">
        <v>4284</v>
      </c>
      <c r="D775" s="228" t="s">
        <v>427</v>
      </c>
      <c r="E775" s="228"/>
      <c r="F775" s="1" t="s">
        <v>3173</v>
      </c>
      <c r="L775" s="12" t="s">
        <v>339</v>
      </c>
      <c r="M775" s="78" t="s">
        <v>129</v>
      </c>
    </row>
    <row r="777" spans="2:13" x14ac:dyDescent="0.25">
      <c r="B777" s="2" t="s">
        <v>341</v>
      </c>
      <c r="C777" s="250" t="s">
        <v>805</v>
      </c>
      <c r="D777" s="250"/>
      <c r="E777" s="250" t="s">
        <v>343</v>
      </c>
      <c r="F777" s="250"/>
      <c r="G777" s="250" t="s">
        <v>954</v>
      </c>
      <c r="H777" s="250"/>
      <c r="I777" s="228" t="s">
        <v>345</v>
      </c>
      <c r="J777" s="228"/>
      <c r="K777" s="228"/>
      <c r="L777" s="228"/>
      <c r="M777" s="228"/>
    </row>
    <row r="778" spans="2:13" x14ac:dyDescent="0.25">
      <c r="C778" s="251"/>
      <c r="D778" s="251"/>
      <c r="E778" s="251"/>
      <c r="F778" s="251"/>
      <c r="G778" s="251"/>
      <c r="H778" s="251"/>
      <c r="I778" s="7"/>
      <c r="J778" s="7"/>
      <c r="K778" s="7"/>
      <c r="L778" s="7"/>
      <c r="M778" s="7"/>
    </row>
    <row r="779" spans="2:13" x14ac:dyDescent="0.25">
      <c r="B779" s="11" t="s">
        <v>5021</v>
      </c>
      <c r="C779" s="323" t="s">
        <v>5022</v>
      </c>
      <c r="D779" s="323" t="s">
        <v>744</v>
      </c>
      <c r="E779" s="252" t="s">
        <v>5023</v>
      </c>
      <c r="F779" s="252" t="s">
        <v>508</v>
      </c>
      <c r="G779" s="252" t="s">
        <v>5024</v>
      </c>
      <c r="H779" s="252" t="s">
        <v>390</v>
      </c>
      <c r="I779" s="14" t="s">
        <v>5025</v>
      </c>
      <c r="J779" s="7"/>
      <c r="K779" s="7"/>
      <c r="L779" s="7"/>
      <c r="M779" s="7"/>
    </row>
    <row r="780" spans="2:13" x14ac:dyDescent="0.25">
      <c r="B780" s="11" t="s">
        <v>3754</v>
      </c>
      <c r="C780" s="205"/>
      <c r="D780" s="205"/>
      <c r="E780" s="252"/>
      <c r="F780" s="252"/>
      <c r="G780" s="252"/>
      <c r="H780" s="252"/>
      <c r="I780" s="14" t="s">
        <v>5026</v>
      </c>
      <c r="J780" s="7"/>
      <c r="K780" s="7"/>
      <c r="L780" s="7"/>
      <c r="M780" s="7"/>
    </row>
    <row r="781" spans="2:13" x14ac:dyDescent="0.25">
      <c r="B781" s="1" t="s">
        <v>1458</v>
      </c>
      <c r="C781" s="290" t="s">
        <v>383</v>
      </c>
      <c r="D781" s="290" t="s">
        <v>390</v>
      </c>
      <c r="E781" s="253" t="s">
        <v>5027</v>
      </c>
      <c r="F781" s="253" t="s">
        <v>392</v>
      </c>
      <c r="G781" s="253" t="s">
        <v>463</v>
      </c>
      <c r="H781" s="253" t="s">
        <v>789</v>
      </c>
      <c r="I781" s="14" t="s">
        <v>5028</v>
      </c>
      <c r="J781" s="7"/>
      <c r="K781" s="7"/>
      <c r="L781" s="7"/>
      <c r="M781" s="7"/>
    </row>
    <row r="782" spans="2:13" x14ac:dyDescent="0.25">
      <c r="B782" s="1"/>
      <c r="C782" s="189"/>
      <c r="D782" s="189"/>
      <c r="E782" s="253"/>
      <c r="F782" s="253"/>
      <c r="G782" s="253"/>
      <c r="H782" s="253"/>
      <c r="I782" s="14" t="s">
        <v>5029</v>
      </c>
      <c r="J782" s="7"/>
      <c r="K782" s="7"/>
      <c r="L782" s="7"/>
      <c r="M782" s="7"/>
    </row>
    <row r="783" spans="2:13" x14ac:dyDescent="0.25">
      <c r="B783" s="120" t="s">
        <v>548</v>
      </c>
      <c r="C783" s="331" t="s">
        <v>1654</v>
      </c>
      <c r="D783" s="331" t="s">
        <v>744</v>
      </c>
      <c r="E783" s="254" t="s">
        <v>1654</v>
      </c>
      <c r="F783" s="254" t="s">
        <v>508</v>
      </c>
      <c r="G783" s="254" t="s">
        <v>1654</v>
      </c>
      <c r="H783" s="254" t="s">
        <v>390</v>
      </c>
      <c r="I783" s="14" t="s">
        <v>5030</v>
      </c>
      <c r="J783" s="7"/>
      <c r="K783" s="80"/>
      <c r="L783" s="7"/>
      <c r="M783" s="7"/>
    </row>
    <row r="784" spans="2:13" x14ac:dyDescent="0.25">
      <c r="B784" s="120"/>
      <c r="C784" s="190"/>
      <c r="D784" s="190"/>
      <c r="E784" s="254"/>
      <c r="F784" s="254"/>
      <c r="G784" s="254"/>
      <c r="H784" s="254"/>
      <c r="I784" s="14" t="s">
        <v>5031</v>
      </c>
      <c r="J784" s="7"/>
      <c r="K784" s="80"/>
      <c r="L784" s="7"/>
      <c r="M784" s="7"/>
    </row>
    <row r="785" spans="2:13" x14ac:dyDescent="0.25">
      <c r="B785" s="32" t="s">
        <v>1046</v>
      </c>
      <c r="C785" s="332" t="s">
        <v>1654</v>
      </c>
      <c r="D785" s="332" t="s">
        <v>4356</v>
      </c>
      <c r="E785" s="255" t="s">
        <v>1654</v>
      </c>
      <c r="F785" s="255" t="s">
        <v>854</v>
      </c>
      <c r="G785" s="255" t="s">
        <v>1654</v>
      </c>
      <c r="H785" s="255" t="s">
        <v>1443</v>
      </c>
      <c r="I785" s="14" t="s">
        <v>5032</v>
      </c>
      <c r="J785" s="7"/>
      <c r="K785" s="80"/>
      <c r="L785" s="7"/>
      <c r="M785" s="7"/>
    </row>
    <row r="786" spans="2:13" x14ac:dyDescent="0.25">
      <c r="B786" s="32"/>
      <c r="C786" s="191"/>
      <c r="D786" s="191"/>
      <c r="E786" s="255"/>
      <c r="F786" s="255"/>
      <c r="G786" s="255"/>
      <c r="H786" s="255"/>
      <c r="I786" s="14" t="s">
        <v>5033</v>
      </c>
      <c r="J786" s="7"/>
      <c r="K786" s="80"/>
      <c r="L786" s="7"/>
      <c r="M786" s="7"/>
    </row>
    <row r="787" spans="2:13" x14ac:dyDescent="0.25">
      <c r="B787" s="120" t="s">
        <v>2153</v>
      </c>
      <c r="C787" s="331" t="s">
        <v>5034</v>
      </c>
      <c r="D787" s="331" t="s">
        <v>744</v>
      </c>
      <c r="E787" s="254" t="s">
        <v>5035</v>
      </c>
      <c r="F787" s="254" t="s">
        <v>508</v>
      </c>
      <c r="G787" s="254" t="s">
        <v>5036</v>
      </c>
      <c r="H787" s="254" t="s">
        <v>390</v>
      </c>
      <c r="I787" s="14"/>
      <c r="J787" s="14"/>
      <c r="K787" s="80"/>
      <c r="L787" s="7"/>
      <c r="M787" s="7"/>
    </row>
    <row r="788" spans="2:13" x14ac:dyDescent="0.25">
      <c r="B788" s="120"/>
      <c r="C788" s="190"/>
      <c r="D788" s="190"/>
      <c r="E788" s="254"/>
      <c r="F788" s="254"/>
      <c r="G788" s="254"/>
      <c r="H788" s="254"/>
      <c r="I788" s="14"/>
      <c r="J788" s="7"/>
      <c r="K788" s="80"/>
      <c r="L788" s="7"/>
      <c r="M788" s="7"/>
    </row>
    <row r="789" spans="2:13" x14ac:dyDescent="0.25">
      <c r="B789" s="32" t="s">
        <v>5037</v>
      </c>
      <c r="C789" s="332" t="s">
        <v>3757</v>
      </c>
      <c r="D789" s="332" t="s">
        <v>4356</v>
      </c>
      <c r="E789" s="255" t="s">
        <v>1630</v>
      </c>
      <c r="F789" s="255" t="s">
        <v>854</v>
      </c>
      <c r="G789" s="255" t="s">
        <v>5038</v>
      </c>
      <c r="H789" s="255" t="s">
        <v>1443</v>
      </c>
      <c r="I789" s="14"/>
      <c r="J789" s="14"/>
      <c r="K789" s="80"/>
      <c r="L789" s="7"/>
      <c r="M789" s="7"/>
    </row>
    <row r="790" spans="2:13" x14ac:dyDescent="0.25">
      <c r="B790" s="32"/>
      <c r="C790" s="207"/>
      <c r="D790" s="207"/>
      <c r="E790" s="255"/>
      <c r="F790" s="255"/>
      <c r="G790" s="255"/>
      <c r="H790" s="255"/>
      <c r="I790" s="14"/>
      <c r="J790" s="14"/>
      <c r="K790" s="80"/>
      <c r="L790" s="7"/>
      <c r="M790" s="7"/>
    </row>
    <row r="791" spans="2:13" x14ac:dyDescent="0.25">
      <c r="B791" s="120" t="s">
        <v>5039</v>
      </c>
      <c r="C791" s="331" t="s">
        <v>3757</v>
      </c>
      <c r="D791" s="331" t="s">
        <v>657</v>
      </c>
      <c r="E791" s="254" t="s">
        <v>1630</v>
      </c>
      <c r="F791" s="254" t="s">
        <v>486</v>
      </c>
      <c r="G791" s="254" t="s">
        <v>5038</v>
      </c>
      <c r="H791" s="254" t="s">
        <v>4369</v>
      </c>
      <c r="I791" s="14"/>
      <c r="J791" s="14"/>
      <c r="K791" s="80"/>
      <c r="L791" s="7"/>
      <c r="M791" s="7"/>
    </row>
    <row r="792" spans="2:13" x14ac:dyDescent="0.25">
      <c r="B792" s="120"/>
      <c r="C792" s="206"/>
      <c r="D792" s="206"/>
      <c r="E792" s="254"/>
      <c r="F792" s="254"/>
      <c r="G792" s="254"/>
      <c r="H792" s="254"/>
      <c r="I792" s="14"/>
      <c r="J792" s="14"/>
      <c r="K792" s="81"/>
    </row>
    <row r="793" spans="2:13" x14ac:dyDescent="0.25">
      <c r="B793" s="32" t="s">
        <v>5040</v>
      </c>
      <c r="C793" s="332" t="s">
        <v>1295</v>
      </c>
      <c r="D793" s="332" t="s">
        <v>495</v>
      </c>
      <c r="E793" s="255" t="s">
        <v>1128</v>
      </c>
      <c r="F793" s="255" t="s">
        <v>2708</v>
      </c>
      <c r="G793" s="255" t="s">
        <v>5041</v>
      </c>
      <c r="H793" s="255" t="s">
        <v>437</v>
      </c>
      <c r="I793" s="14"/>
      <c r="J793" s="14"/>
      <c r="K793" s="81"/>
    </row>
    <row r="794" spans="2:13" x14ac:dyDescent="0.25">
      <c r="B794" s="32" t="s">
        <v>745</v>
      </c>
      <c r="C794" s="207"/>
      <c r="D794" s="207"/>
      <c r="E794" s="191"/>
      <c r="F794" s="191"/>
      <c r="G794" s="191"/>
      <c r="H794" s="191"/>
      <c r="I794" s="14"/>
      <c r="J794" s="14"/>
      <c r="K794" s="81"/>
    </row>
    <row r="795" spans="2:13" x14ac:dyDescent="0.25">
      <c r="B795" s="217" t="s">
        <v>401</v>
      </c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9"/>
    </row>
    <row r="796" spans="2:13" x14ac:dyDescent="0.25">
      <c r="B796" s="3" t="s">
        <v>402</v>
      </c>
      <c r="C796" s="232" t="s">
        <v>403</v>
      </c>
      <c r="D796" s="232"/>
      <c r="E796" s="232" t="s">
        <v>467</v>
      </c>
      <c r="F796" s="232"/>
      <c r="G796" s="232" t="s">
        <v>405</v>
      </c>
      <c r="H796" s="232"/>
      <c r="I796" s="232" t="s">
        <v>406</v>
      </c>
      <c r="J796" s="232"/>
      <c r="K796" s="234" t="s">
        <v>468</v>
      </c>
      <c r="L796" s="235"/>
      <c r="M796" s="236"/>
    </row>
    <row r="797" spans="2:13" x14ac:dyDescent="0.25">
      <c r="B797" s="5"/>
      <c r="C797" s="237"/>
      <c r="D797" s="238"/>
      <c r="E797" s="239"/>
      <c r="F797" s="238"/>
      <c r="G797" s="240"/>
      <c r="H797" s="240"/>
      <c r="I797" s="241">
        <v>0.86399999999999999</v>
      </c>
      <c r="J797" s="241"/>
      <c r="K797" s="242"/>
      <c r="L797" s="243"/>
      <c r="M797" s="244"/>
    </row>
    <row r="798" spans="2:13" x14ac:dyDescent="0.25">
      <c r="B798" s="1"/>
      <c r="C798" s="1"/>
      <c r="D798" s="1"/>
      <c r="E798" s="1"/>
      <c r="F798" s="1"/>
      <c r="G798" s="1"/>
      <c r="H798" s="1"/>
    </row>
    <row r="799" spans="2:13" x14ac:dyDescent="0.25">
      <c r="B799" s="217" t="s">
        <v>408</v>
      </c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9"/>
    </row>
    <row r="800" spans="2:13" x14ac:dyDescent="0.25">
      <c r="B800" s="122" t="s">
        <v>5042</v>
      </c>
      <c r="C800" s="220" t="s">
        <v>5043</v>
      </c>
      <c r="D800" s="220"/>
      <c r="E800" s="221" t="s">
        <v>5044</v>
      </c>
      <c r="F800" s="221"/>
      <c r="G800" s="221" t="s">
        <v>692</v>
      </c>
      <c r="H800" s="221"/>
      <c r="I800" s="220" t="s">
        <v>5045</v>
      </c>
      <c r="J800" s="220"/>
      <c r="K800" s="220" t="s">
        <v>5046</v>
      </c>
      <c r="L800" s="220"/>
      <c r="M800" s="222"/>
    </row>
    <row r="801" spans="2:13" x14ac:dyDescent="0.25">
      <c r="B801" s="123" t="s">
        <v>5047</v>
      </c>
      <c r="C801" s="225" t="s">
        <v>916</v>
      </c>
      <c r="D801" s="226"/>
      <c r="E801" s="223" t="s">
        <v>5048</v>
      </c>
      <c r="F801" s="223"/>
      <c r="G801" s="223" t="s">
        <v>4412</v>
      </c>
      <c r="H801" s="223"/>
      <c r="I801" s="227" t="s">
        <v>5049</v>
      </c>
      <c r="J801" s="227"/>
      <c r="K801" s="223" t="s">
        <v>5050</v>
      </c>
      <c r="L801" s="223"/>
      <c r="M801" s="224"/>
    </row>
    <row r="802" spans="2:13" x14ac:dyDescent="0.25">
      <c r="B802" s="123" t="s">
        <v>5051</v>
      </c>
      <c r="C802" s="225" t="s">
        <v>422</v>
      </c>
      <c r="D802" s="226"/>
      <c r="E802" s="227" t="s">
        <v>5052</v>
      </c>
      <c r="F802" s="227"/>
      <c r="G802" s="223" t="s">
        <v>5053</v>
      </c>
      <c r="H802" s="223"/>
      <c r="I802" s="223" t="s">
        <v>5054</v>
      </c>
      <c r="J802" s="223"/>
      <c r="K802" s="223" t="s">
        <v>575</v>
      </c>
      <c r="L802" s="223"/>
      <c r="M802" s="224"/>
    </row>
    <row r="804" spans="2:13" ht="23.25" x14ac:dyDescent="0.35">
      <c r="B804" s="29" t="s">
        <v>334</v>
      </c>
      <c r="C804" s="229" t="s">
        <v>138</v>
      </c>
      <c r="D804" s="229"/>
      <c r="E804" s="229"/>
      <c r="F804" s="229"/>
      <c r="G804" s="229"/>
      <c r="H804" s="229"/>
      <c r="I804" s="229"/>
      <c r="J804" s="229"/>
    </row>
    <row r="805" spans="2:13" ht="18.75" x14ac:dyDescent="0.3">
      <c r="B805" s="12" t="s">
        <v>335</v>
      </c>
      <c r="C805" s="195" t="s">
        <v>4284</v>
      </c>
      <c r="D805" s="228" t="s">
        <v>427</v>
      </c>
      <c r="E805" s="228"/>
      <c r="F805" s="1" t="s">
        <v>2000</v>
      </c>
      <c r="L805" s="12" t="s">
        <v>339</v>
      </c>
      <c r="M805" s="6" t="s">
        <v>137</v>
      </c>
    </row>
    <row r="807" spans="2:13" x14ac:dyDescent="0.25">
      <c r="B807" s="2" t="s">
        <v>341</v>
      </c>
      <c r="C807" s="250" t="s">
        <v>430</v>
      </c>
      <c r="D807" s="250"/>
      <c r="E807" s="228" t="s">
        <v>345</v>
      </c>
      <c r="F807" s="228"/>
      <c r="G807" s="228"/>
      <c r="H807" s="228"/>
      <c r="I807" s="228"/>
      <c r="J807" s="228"/>
      <c r="K807" s="228"/>
      <c r="L807" s="228"/>
      <c r="M807" s="228"/>
    </row>
    <row r="808" spans="2:13" x14ac:dyDescent="0.25">
      <c r="C808" s="251"/>
      <c r="D808" s="251"/>
      <c r="E808" s="7"/>
      <c r="F808" s="7"/>
      <c r="G808" s="7"/>
      <c r="H808" s="7"/>
      <c r="I808" s="7"/>
    </row>
    <row r="809" spans="2:13" x14ac:dyDescent="0.25">
      <c r="B809" s="11" t="s">
        <v>3596</v>
      </c>
      <c r="C809" s="252" t="s">
        <v>1834</v>
      </c>
      <c r="D809" s="252"/>
      <c r="E809" s="14" t="s">
        <v>5055</v>
      </c>
      <c r="F809" s="7"/>
      <c r="G809" s="7"/>
      <c r="H809" s="7"/>
      <c r="I809" s="7"/>
    </row>
    <row r="810" spans="2:13" x14ac:dyDescent="0.25">
      <c r="B810" s="11"/>
      <c r="C810" s="188"/>
      <c r="D810" s="188"/>
      <c r="E810" s="14" t="s">
        <v>5056</v>
      </c>
      <c r="F810" s="7"/>
      <c r="G810" s="7"/>
      <c r="H810" s="7"/>
      <c r="I810" s="7"/>
    </row>
    <row r="811" spans="2:13" x14ac:dyDescent="0.25">
      <c r="B811" s="1" t="s">
        <v>3315</v>
      </c>
      <c r="C811" s="253" t="s">
        <v>1915</v>
      </c>
      <c r="D811" s="253"/>
      <c r="E811" s="14" t="s">
        <v>5057</v>
      </c>
      <c r="F811" s="7"/>
      <c r="G811" s="7"/>
      <c r="H811" s="7"/>
      <c r="I811" s="7"/>
    </row>
    <row r="812" spans="2:13" x14ac:dyDescent="0.25">
      <c r="B812" s="1"/>
      <c r="C812" s="253"/>
      <c r="D812" s="253"/>
      <c r="E812" s="14" t="s">
        <v>5058</v>
      </c>
      <c r="F812" s="7"/>
      <c r="G812" s="7"/>
      <c r="H812" s="7"/>
      <c r="I812" s="7"/>
    </row>
    <row r="813" spans="2:13" x14ac:dyDescent="0.25">
      <c r="B813" s="120" t="s">
        <v>1229</v>
      </c>
      <c r="C813" s="254" t="s">
        <v>1892</v>
      </c>
      <c r="D813" s="254"/>
      <c r="E813" s="14" t="s">
        <v>3601</v>
      </c>
      <c r="F813" s="7"/>
      <c r="G813" s="7"/>
      <c r="H813" s="7"/>
      <c r="I813" s="7"/>
    </row>
    <row r="814" spans="2:13" x14ac:dyDescent="0.25">
      <c r="B814" s="120"/>
      <c r="C814" s="190"/>
      <c r="D814" s="190"/>
      <c r="F814" s="7"/>
      <c r="G814" s="7"/>
      <c r="H814" s="7"/>
      <c r="I814" s="7"/>
    </row>
    <row r="815" spans="2:13" x14ac:dyDescent="0.25">
      <c r="B815" s="1" t="s">
        <v>5007</v>
      </c>
      <c r="C815" s="253" t="s">
        <v>1915</v>
      </c>
      <c r="D815" s="253"/>
      <c r="E815" s="14" t="s">
        <v>3602</v>
      </c>
      <c r="F815" s="7"/>
      <c r="G815" s="7"/>
      <c r="H815" s="7"/>
      <c r="I815" s="7"/>
    </row>
    <row r="816" spans="2:13" x14ac:dyDescent="0.25">
      <c r="B816" s="1"/>
      <c r="C816" s="189"/>
      <c r="D816" s="189"/>
      <c r="E816" s="14"/>
      <c r="F816" s="7"/>
      <c r="G816" s="7"/>
      <c r="H816" s="7"/>
      <c r="I816" s="7"/>
    </row>
    <row r="817" spans="2:13" x14ac:dyDescent="0.25">
      <c r="B817" s="120" t="s">
        <v>3580</v>
      </c>
      <c r="C817" s="254" t="s">
        <v>1915</v>
      </c>
      <c r="D817" s="254"/>
      <c r="E817" s="14"/>
      <c r="F817" s="7"/>
      <c r="G817" s="7"/>
      <c r="H817" s="7"/>
      <c r="I817" s="7"/>
    </row>
    <row r="818" spans="2:13" x14ac:dyDescent="0.25">
      <c r="B818" s="120"/>
      <c r="C818" s="190"/>
      <c r="D818" s="190"/>
      <c r="E818" s="14"/>
      <c r="F818" s="7"/>
      <c r="G818" s="7"/>
      <c r="H818" s="7"/>
      <c r="I818" s="7"/>
    </row>
    <row r="819" spans="2:13" x14ac:dyDescent="0.25">
      <c r="B819" s="32" t="s">
        <v>3603</v>
      </c>
      <c r="C819" s="255" t="s">
        <v>5059</v>
      </c>
      <c r="D819" s="255"/>
      <c r="E819" s="14"/>
      <c r="F819" s="7"/>
      <c r="G819" s="7"/>
      <c r="H819" s="7"/>
      <c r="I819" s="7"/>
    </row>
    <row r="820" spans="2:13" x14ac:dyDescent="0.25">
      <c r="B820" s="32"/>
      <c r="C820" s="191"/>
      <c r="D820" s="191"/>
      <c r="E820" s="14"/>
      <c r="F820" s="7"/>
      <c r="G820" s="7"/>
      <c r="H820" s="7"/>
      <c r="I820" s="7"/>
    </row>
    <row r="821" spans="2:13" x14ac:dyDescent="0.25">
      <c r="B821" s="217" t="s">
        <v>401</v>
      </c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9"/>
    </row>
    <row r="822" spans="2:13" x14ac:dyDescent="0.25">
      <c r="B822" s="3" t="s">
        <v>402</v>
      </c>
      <c r="C822" s="232" t="s">
        <v>403</v>
      </c>
      <c r="D822" s="232"/>
      <c r="E822" s="256" t="s">
        <v>404</v>
      </c>
      <c r="F822" s="256"/>
      <c r="G822" s="233" t="s">
        <v>1241</v>
      </c>
      <c r="H822" s="233"/>
      <c r="I822" s="232" t="s">
        <v>406</v>
      </c>
      <c r="J822" s="232"/>
      <c r="K822" s="234" t="s">
        <v>407</v>
      </c>
      <c r="L822" s="235"/>
      <c r="M822" s="236"/>
    </row>
    <row r="823" spans="2:13" x14ac:dyDescent="0.25">
      <c r="B823" s="5"/>
      <c r="C823" s="237"/>
      <c r="D823" s="238"/>
      <c r="E823" s="239">
        <v>0.2</v>
      </c>
      <c r="F823" s="238"/>
      <c r="G823" s="240">
        <v>0.57799999999999996</v>
      </c>
      <c r="H823" s="240"/>
      <c r="I823" s="240"/>
      <c r="J823" s="240"/>
      <c r="K823" s="242">
        <v>0.25</v>
      </c>
      <c r="L823" s="243"/>
      <c r="M823" s="244"/>
    </row>
    <row r="824" spans="2:13" x14ac:dyDescent="0.25">
      <c r="B824" s="1"/>
      <c r="C824" s="1"/>
      <c r="D824" s="1"/>
      <c r="E824" s="1"/>
      <c r="F824" s="1"/>
      <c r="G824" s="1"/>
      <c r="H824" s="1"/>
    </row>
    <row r="825" spans="2:13" x14ac:dyDescent="0.25">
      <c r="B825" s="217" t="s">
        <v>3584</v>
      </c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9"/>
    </row>
    <row r="826" spans="2:13" x14ac:dyDescent="0.25">
      <c r="B826" s="122" t="s">
        <v>5060</v>
      </c>
      <c r="C826" s="220" t="s">
        <v>5061</v>
      </c>
      <c r="D826" s="220"/>
      <c r="E826" s="330" t="s">
        <v>5062</v>
      </c>
      <c r="F826" s="330"/>
      <c r="G826" s="221" t="s">
        <v>692</v>
      </c>
      <c r="H826" s="221"/>
      <c r="I826" s="220" t="s">
        <v>4618</v>
      </c>
      <c r="J826" s="220"/>
      <c r="K826" s="220" t="s">
        <v>5063</v>
      </c>
      <c r="L826" s="220"/>
      <c r="M826" s="222"/>
    </row>
    <row r="827" spans="2:13" x14ac:dyDescent="0.25">
      <c r="B827" s="124" t="s">
        <v>5064</v>
      </c>
      <c r="C827" s="245" t="s">
        <v>3919</v>
      </c>
      <c r="D827" s="246"/>
      <c r="E827" s="247" t="s">
        <v>5065</v>
      </c>
      <c r="F827" s="247"/>
      <c r="G827" s="247" t="s">
        <v>5066</v>
      </c>
      <c r="H827" s="247"/>
      <c r="I827" s="248" t="s">
        <v>5067</v>
      </c>
      <c r="J827" s="248"/>
      <c r="K827" s="247" t="s">
        <v>5068</v>
      </c>
      <c r="L827" s="247"/>
      <c r="M827" s="249"/>
    </row>
    <row r="828" spans="2:13" x14ac:dyDescent="0.25">
      <c r="B828" s="168" t="s">
        <v>3507</v>
      </c>
      <c r="C828" s="257" t="s">
        <v>422</v>
      </c>
      <c r="D828" s="258"/>
      <c r="E828" s="259" t="s">
        <v>5069</v>
      </c>
      <c r="F828" s="259"/>
      <c r="G828" s="260" t="s">
        <v>802</v>
      </c>
      <c r="H828" s="260"/>
      <c r="I828" s="260" t="s">
        <v>5070</v>
      </c>
      <c r="J828" s="260"/>
      <c r="K828" s="260" t="s">
        <v>575</v>
      </c>
      <c r="L828" s="260"/>
      <c r="M828" s="261"/>
    </row>
    <row r="830" spans="2:13" ht="23.25" x14ac:dyDescent="0.35">
      <c r="B830" s="29" t="s">
        <v>334</v>
      </c>
      <c r="C830" s="229" t="s">
        <v>142</v>
      </c>
      <c r="D830" s="229"/>
      <c r="E830" s="229"/>
      <c r="F830" s="229"/>
      <c r="G830" s="229"/>
      <c r="H830" s="229"/>
      <c r="I830" s="229"/>
      <c r="J830" s="229"/>
    </row>
    <row r="831" spans="2:13" ht="18" x14ac:dyDescent="0.25">
      <c r="B831" s="12" t="s">
        <v>335</v>
      </c>
      <c r="C831" s="195" t="s">
        <v>4284</v>
      </c>
      <c r="D831" s="228" t="s">
        <v>427</v>
      </c>
      <c r="E831" s="228"/>
      <c r="F831" s="1" t="s">
        <v>3173</v>
      </c>
      <c r="L831" s="12" t="s">
        <v>339</v>
      </c>
      <c r="M831" s="78" t="s">
        <v>141</v>
      </c>
    </row>
    <row r="833" spans="2:13" x14ac:dyDescent="0.25">
      <c r="B833" s="2" t="s">
        <v>341</v>
      </c>
      <c r="C833" s="250" t="s">
        <v>5071</v>
      </c>
      <c r="D833" s="250"/>
      <c r="E833" s="250" t="s">
        <v>343</v>
      </c>
      <c r="F833" s="250"/>
      <c r="G833" s="250" t="s">
        <v>954</v>
      </c>
      <c r="H833" s="250"/>
      <c r="I833" s="228" t="s">
        <v>345</v>
      </c>
      <c r="J833" s="228"/>
      <c r="K833" s="228"/>
      <c r="L833" s="228"/>
      <c r="M833" s="228"/>
    </row>
    <row r="834" spans="2:13" x14ac:dyDescent="0.25">
      <c r="C834" s="251"/>
      <c r="D834" s="251"/>
      <c r="E834" s="251"/>
      <c r="F834" s="251"/>
      <c r="G834" s="251"/>
      <c r="H834" s="251"/>
      <c r="I834" s="7"/>
      <c r="J834" s="7"/>
      <c r="K834" s="7"/>
      <c r="L834" s="7"/>
      <c r="M834" s="7"/>
    </row>
    <row r="835" spans="2:13" x14ac:dyDescent="0.25">
      <c r="B835" s="11" t="s">
        <v>965</v>
      </c>
      <c r="C835" s="323" t="s">
        <v>5072</v>
      </c>
      <c r="D835" s="323" t="s">
        <v>744</v>
      </c>
      <c r="E835" s="252" t="s">
        <v>5073</v>
      </c>
      <c r="F835" s="252" t="s">
        <v>508</v>
      </c>
      <c r="G835" s="252" t="s">
        <v>5074</v>
      </c>
      <c r="H835" s="252" t="s">
        <v>390</v>
      </c>
      <c r="I835" s="14" t="s">
        <v>1918</v>
      </c>
      <c r="J835" s="7"/>
      <c r="K835" s="7"/>
      <c r="L835" s="7"/>
      <c r="M835" s="7"/>
    </row>
    <row r="836" spans="2:13" x14ac:dyDescent="0.25">
      <c r="B836" s="11"/>
      <c r="C836" s="205"/>
      <c r="D836" s="205"/>
      <c r="E836" s="252"/>
      <c r="F836" s="252"/>
      <c r="G836" s="252"/>
      <c r="H836" s="252"/>
      <c r="I836" s="14" t="s">
        <v>1446</v>
      </c>
      <c r="J836" s="7"/>
      <c r="K836" s="7"/>
      <c r="L836" s="7"/>
      <c r="M836" s="7"/>
    </row>
    <row r="837" spans="2:13" x14ac:dyDescent="0.25">
      <c r="B837" s="1" t="s">
        <v>4609</v>
      </c>
      <c r="C837" s="290" t="s">
        <v>508</v>
      </c>
      <c r="D837" s="290" t="s">
        <v>390</v>
      </c>
      <c r="E837" s="253" t="s">
        <v>1640</v>
      </c>
      <c r="F837" s="253" t="s">
        <v>392</v>
      </c>
      <c r="G837" s="253" t="s">
        <v>390</v>
      </c>
      <c r="H837" s="253" t="s">
        <v>789</v>
      </c>
      <c r="I837" s="14" t="s">
        <v>5075</v>
      </c>
      <c r="J837" s="7"/>
      <c r="K837" s="7"/>
      <c r="L837" s="7"/>
      <c r="M837" s="7"/>
    </row>
    <row r="838" spans="2:13" x14ac:dyDescent="0.25">
      <c r="B838" s="1"/>
      <c r="C838" s="189"/>
      <c r="D838" s="189"/>
      <c r="E838" s="253"/>
      <c r="F838" s="253"/>
      <c r="G838" s="253"/>
      <c r="H838" s="253"/>
      <c r="I838" s="14"/>
      <c r="J838" s="7"/>
      <c r="K838" s="7"/>
      <c r="L838" s="7"/>
      <c r="M838" s="7"/>
    </row>
    <row r="839" spans="2:13" x14ac:dyDescent="0.25">
      <c r="B839" s="11" t="s">
        <v>4610</v>
      </c>
      <c r="C839" s="323" t="s">
        <v>392</v>
      </c>
      <c r="D839" s="323" t="s">
        <v>744</v>
      </c>
      <c r="E839" s="252" t="s">
        <v>5076</v>
      </c>
      <c r="F839" s="252" t="s">
        <v>508</v>
      </c>
      <c r="G839" s="252" t="s">
        <v>789</v>
      </c>
      <c r="H839" s="252" t="s">
        <v>390</v>
      </c>
      <c r="I839" s="14"/>
      <c r="J839" s="7"/>
      <c r="K839" s="80"/>
      <c r="L839" s="7"/>
      <c r="M839" s="7"/>
    </row>
    <row r="840" spans="2:13" x14ac:dyDescent="0.25">
      <c r="B840" s="11"/>
      <c r="C840" s="188"/>
      <c r="D840" s="188"/>
      <c r="E840" s="252"/>
      <c r="F840" s="252"/>
      <c r="G840" s="252"/>
      <c r="H840" s="252"/>
      <c r="I840" s="14"/>
      <c r="J840" s="7"/>
      <c r="K840" s="80"/>
      <c r="L840" s="7"/>
      <c r="M840" s="7"/>
    </row>
    <row r="841" spans="2:13" x14ac:dyDescent="0.25">
      <c r="B841" s="1" t="s">
        <v>454</v>
      </c>
      <c r="C841" s="290" t="s">
        <v>508</v>
      </c>
      <c r="D841" s="290" t="s">
        <v>4356</v>
      </c>
      <c r="E841" s="253" t="s">
        <v>1640</v>
      </c>
      <c r="F841" s="253" t="s">
        <v>854</v>
      </c>
      <c r="G841" s="253" t="s">
        <v>390</v>
      </c>
      <c r="H841" s="253" t="s">
        <v>1443</v>
      </c>
      <c r="I841" s="14"/>
      <c r="J841" s="7"/>
      <c r="K841" s="80"/>
      <c r="L841" s="7"/>
      <c r="M841" s="7"/>
    </row>
    <row r="842" spans="2:13" x14ac:dyDescent="0.25">
      <c r="B842" s="1"/>
      <c r="C842" s="189"/>
      <c r="D842" s="189"/>
      <c r="E842" s="253"/>
      <c r="F842" s="253"/>
      <c r="G842" s="253"/>
      <c r="H842" s="253"/>
      <c r="J842" s="7"/>
      <c r="K842" s="80"/>
      <c r="L842" s="7"/>
      <c r="M842" s="7"/>
    </row>
    <row r="843" spans="2:13" x14ac:dyDescent="0.25">
      <c r="B843" s="11" t="s">
        <v>889</v>
      </c>
      <c r="C843" s="323" t="s">
        <v>491</v>
      </c>
      <c r="D843" s="323" t="s">
        <v>744</v>
      </c>
      <c r="E843" s="252" t="s">
        <v>5077</v>
      </c>
      <c r="F843" s="252" t="s">
        <v>508</v>
      </c>
      <c r="G843" s="252" t="s">
        <v>1050</v>
      </c>
      <c r="H843" s="252" t="s">
        <v>390</v>
      </c>
      <c r="I843" s="14"/>
      <c r="K843" s="80"/>
      <c r="L843" s="7"/>
      <c r="M843" s="7"/>
    </row>
    <row r="844" spans="2:13" x14ac:dyDescent="0.25">
      <c r="B844" s="11"/>
      <c r="C844" s="188"/>
      <c r="D844" s="188"/>
      <c r="E844" s="252"/>
      <c r="F844" s="252"/>
      <c r="G844" s="252"/>
      <c r="H844" s="252"/>
      <c r="I844" s="14"/>
      <c r="J844" s="7"/>
      <c r="K844" s="80"/>
      <c r="L844" s="7"/>
      <c r="M844" s="7"/>
    </row>
    <row r="845" spans="2:13" x14ac:dyDescent="0.25">
      <c r="B845" s="1" t="s">
        <v>457</v>
      </c>
      <c r="C845" s="290" t="s">
        <v>491</v>
      </c>
      <c r="D845" s="290" t="s">
        <v>4356</v>
      </c>
      <c r="E845" s="253" t="s">
        <v>5077</v>
      </c>
      <c r="F845" s="253" t="s">
        <v>854</v>
      </c>
      <c r="G845" s="253" t="s">
        <v>1050</v>
      </c>
      <c r="H845" s="253" t="s">
        <v>1443</v>
      </c>
      <c r="I845" s="14"/>
      <c r="J845" s="14"/>
      <c r="K845" s="80"/>
      <c r="L845" s="7"/>
      <c r="M845" s="7"/>
    </row>
    <row r="846" spans="2:13" x14ac:dyDescent="0.25">
      <c r="B846" s="1"/>
      <c r="C846" s="199"/>
      <c r="D846" s="199"/>
      <c r="E846" s="253"/>
      <c r="F846" s="253"/>
      <c r="G846" s="253"/>
      <c r="H846" s="253"/>
      <c r="I846" s="14"/>
      <c r="J846" s="14"/>
      <c r="K846" s="80"/>
      <c r="L846" s="7"/>
      <c r="M846" s="7"/>
    </row>
    <row r="847" spans="2:13" x14ac:dyDescent="0.25">
      <c r="B847" s="11" t="s">
        <v>2426</v>
      </c>
      <c r="C847" s="323" t="s">
        <v>508</v>
      </c>
      <c r="D847" s="323" t="s">
        <v>657</v>
      </c>
      <c r="E847" s="252" t="s">
        <v>1640</v>
      </c>
      <c r="F847" s="252" t="s">
        <v>486</v>
      </c>
      <c r="G847" s="252" t="s">
        <v>390</v>
      </c>
      <c r="H847" s="252" t="s">
        <v>4369</v>
      </c>
      <c r="I847" s="14"/>
      <c r="K847" s="80"/>
      <c r="L847" s="7"/>
      <c r="M847" s="7"/>
    </row>
    <row r="848" spans="2:13" x14ac:dyDescent="0.25">
      <c r="B848" s="11"/>
      <c r="C848" s="205"/>
      <c r="D848" s="205"/>
      <c r="E848" s="252"/>
      <c r="F848" s="252"/>
      <c r="G848" s="252"/>
      <c r="H848" s="252"/>
      <c r="I848" s="14"/>
      <c r="K848" s="81"/>
    </row>
    <row r="849" spans="2:13" x14ac:dyDescent="0.25">
      <c r="B849" s="1" t="s">
        <v>5078</v>
      </c>
      <c r="C849" s="290" t="s">
        <v>5079</v>
      </c>
      <c r="D849" s="290" t="s">
        <v>495</v>
      </c>
      <c r="E849" s="253" t="s">
        <v>3233</v>
      </c>
      <c r="F849" s="253" t="s">
        <v>2708</v>
      </c>
      <c r="G849" s="253" t="s">
        <v>2574</v>
      </c>
      <c r="H849" s="253" t="s">
        <v>437</v>
      </c>
      <c r="I849" s="14"/>
      <c r="K849" s="81"/>
    </row>
    <row r="850" spans="2:13" x14ac:dyDescent="0.25">
      <c r="B850" s="1"/>
      <c r="C850" s="199"/>
      <c r="D850" s="199"/>
      <c r="E850" s="189"/>
      <c r="F850" s="189"/>
      <c r="G850" s="189"/>
      <c r="H850" s="189"/>
      <c r="I850" s="14"/>
      <c r="K850" s="81"/>
    </row>
    <row r="851" spans="2:13" x14ac:dyDescent="0.25">
      <c r="B851" s="11" t="s">
        <v>3477</v>
      </c>
      <c r="C851" s="323" t="s">
        <v>508</v>
      </c>
      <c r="D851" s="323" t="s">
        <v>657</v>
      </c>
      <c r="E851" s="252" t="s">
        <v>1640</v>
      </c>
      <c r="F851" s="252" t="s">
        <v>486</v>
      </c>
      <c r="G851" s="252" t="s">
        <v>390</v>
      </c>
      <c r="H851" s="252" t="s">
        <v>4369</v>
      </c>
      <c r="I851" s="14"/>
      <c r="K851" s="81"/>
    </row>
    <row r="852" spans="2:13" x14ac:dyDescent="0.25">
      <c r="B852" s="11"/>
      <c r="C852" s="205"/>
      <c r="D852" s="205"/>
      <c r="E852" s="252"/>
      <c r="F852" s="252"/>
      <c r="G852" s="252"/>
      <c r="H852" s="252"/>
      <c r="I852" s="14"/>
      <c r="K852" s="81"/>
    </row>
    <row r="853" spans="2:13" x14ac:dyDescent="0.25">
      <c r="B853" s="1" t="s">
        <v>1458</v>
      </c>
      <c r="C853" s="290" t="s">
        <v>4024</v>
      </c>
      <c r="D853" s="290" t="s">
        <v>495</v>
      </c>
      <c r="E853" s="253" t="s">
        <v>5080</v>
      </c>
      <c r="F853" s="253" t="s">
        <v>2708</v>
      </c>
      <c r="G853" s="253" t="s">
        <v>2618</v>
      </c>
      <c r="H853" s="253" t="s">
        <v>437</v>
      </c>
      <c r="I853" s="14"/>
      <c r="K853" s="81"/>
    </row>
    <row r="854" spans="2:13" x14ac:dyDescent="0.25">
      <c r="B854" s="1"/>
      <c r="C854" s="199"/>
      <c r="D854" s="199"/>
      <c r="E854" s="189"/>
      <c r="F854" s="189"/>
      <c r="G854" s="189"/>
      <c r="H854" s="189"/>
      <c r="I854" s="14"/>
      <c r="K854" s="81"/>
    </row>
    <row r="855" spans="2:13" x14ac:dyDescent="0.25">
      <c r="B855" s="217" t="s">
        <v>401</v>
      </c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9"/>
    </row>
    <row r="856" spans="2:13" x14ac:dyDescent="0.25">
      <c r="B856" s="3" t="s">
        <v>402</v>
      </c>
      <c r="C856" s="232" t="s">
        <v>403</v>
      </c>
      <c r="D856" s="232"/>
      <c r="E856" s="232" t="s">
        <v>407</v>
      </c>
      <c r="F856" s="232"/>
      <c r="G856" s="232" t="s">
        <v>405</v>
      </c>
      <c r="H856" s="232"/>
      <c r="I856" s="233" t="s">
        <v>404</v>
      </c>
      <c r="J856" s="233"/>
      <c r="K856" s="234" t="s">
        <v>1241</v>
      </c>
      <c r="L856" s="235"/>
      <c r="M856" s="236"/>
    </row>
    <row r="857" spans="2:13" x14ac:dyDescent="0.25">
      <c r="B857" s="5">
        <v>3.5</v>
      </c>
      <c r="C857" s="237"/>
      <c r="D857" s="238"/>
      <c r="E857" s="239">
        <v>8.9999999999999993E-3</v>
      </c>
      <c r="F857" s="238"/>
      <c r="G857" s="240"/>
      <c r="H857" s="240"/>
      <c r="I857" s="241">
        <v>0.13</v>
      </c>
      <c r="J857" s="241"/>
      <c r="K857" s="242">
        <v>1E-3</v>
      </c>
      <c r="L857" s="243"/>
      <c r="M857" s="244"/>
    </row>
    <row r="858" spans="2:13" x14ac:dyDescent="0.25">
      <c r="B858" s="1"/>
      <c r="C858" s="1"/>
      <c r="D858" s="1"/>
      <c r="E858" s="1"/>
      <c r="F858" s="1"/>
      <c r="G858" s="1"/>
      <c r="H858" s="1"/>
    </row>
    <row r="859" spans="2:13" x14ac:dyDescent="0.25">
      <c r="B859" s="217" t="s">
        <v>408</v>
      </c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9"/>
    </row>
    <row r="860" spans="2:13" x14ac:dyDescent="0.25">
      <c r="B860" s="122" t="s">
        <v>5081</v>
      </c>
      <c r="C860" s="220" t="s">
        <v>5082</v>
      </c>
      <c r="D860" s="220"/>
      <c r="E860" s="330" t="s">
        <v>5083</v>
      </c>
      <c r="F860" s="330"/>
      <c r="G860" s="221" t="s">
        <v>692</v>
      </c>
      <c r="H860" s="221"/>
      <c r="I860" s="220" t="s">
        <v>1607</v>
      </c>
      <c r="J860" s="220"/>
      <c r="K860" s="220" t="s">
        <v>5084</v>
      </c>
      <c r="L860" s="220"/>
      <c r="M860" s="222"/>
    </row>
    <row r="861" spans="2:13" x14ac:dyDescent="0.25">
      <c r="B861" s="124" t="s">
        <v>5085</v>
      </c>
      <c r="C861" s="245" t="s">
        <v>566</v>
      </c>
      <c r="D861" s="246"/>
      <c r="E861" s="247" t="s">
        <v>5086</v>
      </c>
      <c r="F861" s="247"/>
      <c r="G861" s="247" t="s">
        <v>3247</v>
      </c>
      <c r="H861" s="247"/>
      <c r="I861" s="248" t="s">
        <v>1078</v>
      </c>
      <c r="J861" s="248"/>
      <c r="K861" s="247" t="s">
        <v>5087</v>
      </c>
      <c r="L861" s="247"/>
      <c r="M861" s="249"/>
    </row>
    <row r="862" spans="2:13" x14ac:dyDescent="0.25">
      <c r="B862" s="168" t="s">
        <v>5088</v>
      </c>
      <c r="C862" s="257" t="s">
        <v>422</v>
      </c>
      <c r="D862" s="258"/>
      <c r="E862" s="259" t="s">
        <v>5089</v>
      </c>
      <c r="F862" s="259"/>
      <c r="G862" s="260" t="s">
        <v>3615</v>
      </c>
      <c r="H862" s="260"/>
      <c r="I862" s="260" t="s">
        <v>5090</v>
      </c>
      <c r="J862" s="260"/>
      <c r="K862" s="260" t="s">
        <v>5091</v>
      </c>
      <c r="L862" s="260"/>
      <c r="M862" s="261"/>
    </row>
    <row r="864" spans="2:13" ht="23.25" x14ac:dyDescent="0.35">
      <c r="B864" s="29" t="s">
        <v>334</v>
      </c>
      <c r="C864" s="229" t="s">
        <v>146</v>
      </c>
      <c r="D864" s="229"/>
      <c r="E864" s="229"/>
      <c r="F864" s="229"/>
      <c r="G864" s="229"/>
      <c r="H864" s="229"/>
      <c r="I864" s="229"/>
      <c r="J864" s="229"/>
    </row>
    <row r="865" spans="2:13" ht="18" x14ac:dyDescent="0.25">
      <c r="B865" s="12" t="s">
        <v>335</v>
      </c>
      <c r="C865" s="195" t="s">
        <v>4284</v>
      </c>
      <c r="D865" s="228" t="s">
        <v>427</v>
      </c>
      <c r="E865" s="228"/>
      <c r="F865" s="1" t="s">
        <v>3173</v>
      </c>
      <c r="L865" s="12" t="s">
        <v>339</v>
      </c>
      <c r="M865" s="78" t="s">
        <v>145</v>
      </c>
    </row>
    <row r="867" spans="2:13" x14ac:dyDescent="0.25">
      <c r="B867" s="2" t="s">
        <v>341</v>
      </c>
      <c r="C867" s="250" t="s">
        <v>5071</v>
      </c>
      <c r="D867" s="250"/>
      <c r="E867" s="250" t="s">
        <v>343</v>
      </c>
      <c r="F867" s="250"/>
      <c r="G867" s="250" t="s">
        <v>954</v>
      </c>
      <c r="H867" s="250"/>
      <c r="I867" s="228" t="s">
        <v>345</v>
      </c>
      <c r="J867" s="228"/>
      <c r="K867" s="228"/>
      <c r="L867" s="228"/>
      <c r="M867" s="228"/>
    </row>
    <row r="868" spans="2:13" x14ac:dyDescent="0.25">
      <c r="C868" s="251"/>
      <c r="D868" s="251"/>
      <c r="E868" s="251"/>
      <c r="F868" s="251"/>
      <c r="G868" s="251"/>
      <c r="H868" s="251"/>
      <c r="I868" s="7"/>
      <c r="J868" s="7"/>
      <c r="K868" s="7"/>
      <c r="L868" s="7"/>
      <c r="M868" s="7"/>
    </row>
    <row r="869" spans="2:13" x14ac:dyDescent="0.25">
      <c r="B869" s="11" t="s">
        <v>5007</v>
      </c>
      <c r="C869" s="323" t="s">
        <v>4875</v>
      </c>
      <c r="D869" s="323" t="s">
        <v>744</v>
      </c>
      <c r="E869" s="252" t="s">
        <v>4574</v>
      </c>
      <c r="F869" s="252" t="s">
        <v>508</v>
      </c>
      <c r="G869" s="252" t="s">
        <v>4575</v>
      </c>
      <c r="H869" s="252" t="s">
        <v>390</v>
      </c>
      <c r="I869" s="14" t="s">
        <v>5092</v>
      </c>
      <c r="J869" s="7"/>
      <c r="K869" s="7"/>
      <c r="L869" s="7"/>
      <c r="M869" s="7"/>
    </row>
    <row r="870" spans="2:13" x14ac:dyDescent="0.25">
      <c r="B870" s="11"/>
      <c r="C870" s="205"/>
      <c r="D870" s="205"/>
      <c r="E870" s="252"/>
      <c r="F870" s="252"/>
      <c r="G870" s="252"/>
      <c r="H870" s="252"/>
      <c r="I870" s="14" t="s">
        <v>5093</v>
      </c>
      <c r="J870" s="7"/>
      <c r="K870" s="7"/>
      <c r="L870" s="7"/>
      <c r="M870" s="7"/>
    </row>
    <row r="871" spans="2:13" x14ac:dyDescent="0.25">
      <c r="B871" s="1" t="s">
        <v>1458</v>
      </c>
      <c r="C871" s="290" t="s">
        <v>5094</v>
      </c>
      <c r="D871" s="290" t="s">
        <v>390</v>
      </c>
      <c r="E871" s="253" t="s">
        <v>5094</v>
      </c>
      <c r="F871" s="253" t="s">
        <v>392</v>
      </c>
      <c r="G871" s="253" t="s">
        <v>5094</v>
      </c>
      <c r="H871" s="253" t="s">
        <v>789</v>
      </c>
      <c r="I871" s="14" t="s">
        <v>5095</v>
      </c>
      <c r="J871" s="7"/>
      <c r="K871" s="7"/>
      <c r="L871" s="7"/>
      <c r="M871" s="7"/>
    </row>
    <row r="872" spans="2:13" x14ac:dyDescent="0.25">
      <c r="B872" s="1"/>
      <c r="C872" s="189"/>
      <c r="D872" s="189"/>
      <c r="E872" s="253"/>
      <c r="F872" s="253"/>
      <c r="G872" s="253"/>
      <c r="H872" s="253"/>
      <c r="I872" s="14" t="s">
        <v>5096</v>
      </c>
      <c r="J872" s="7"/>
      <c r="K872" s="7"/>
      <c r="L872" s="7"/>
      <c r="M872" s="7"/>
    </row>
    <row r="873" spans="2:13" x14ac:dyDescent="0.25">
      <c r="B873" s="11" t="s">
        <v>518</v>
      </c>
      <c r="C873" s="323" t="s">
        <v>1654</v>
      </c>
      <c r="D873" s="323" t="s">
        <v>744</v>
      </c>
      <c r="E873" s="252" t="s">
        <v>1654</v>
      </c>
      <c r="F873" s="252" t="s">
        <v>508</v>
      </c>
      <c r="G873" s="252" t="s">
        <v>1654</v>
      </c>
      <c r="H873" s="252" t="s">
        <v>390</v>
      </c>
      <c r="I873" s="14"/>
      <c r="J873" s="7"/>
      <c r="K873" s="80"/>
      <c r="L873" s="7"/>
      <c r="M873" s="7"/>
    </row>
    <row r="874" spans="2:13" x14ac:dyDescent="0.25">
      <c r="B874" s="11"/>
      <c r="C874" s="188"/>
      <c r="D874" s="188"/>
      <c r="E874" s="252"/>
      <c r="F874" s="252"/>
      <c r="G874" s="252"/>
      <c r="H874" s="252"/>
      <c r="I874" s="14"/>
      <c r="J874" s="7"/>
      <c r="K874" s="80"/>
      <c r="L874" s="7"/>
      <c r="M874" s="7"/>
    </row>
    <row r="875" spans="2:13" x14ac:dyDescent="0.25">
      <c r="B875" s="1" t="s">
        <v>1046</v>
      </c>
      <c r="C875" s="290" t="s">
        <v>1654</v>
      </c>
      <c r="D875" s="290" t="s">
        <v>4356</v>
      </c>
      <c r="E875" s="253" t="s">
        <v>1654</v>
      </c>
      <c r="F875" s="253" t="s">
        <v>854</v>
      </c>
      <c r="G875" s="253" t="s">
        <v>1654</v>
      </c>
      <c r="H875" s="253" t="s">
        <v>1443</v>
      </c>
      <c r="I875" s="14"/>
      <c r="J875" s="7"/>
      <c r="K875" s="80"/>
      <c r="L875" s="7"/>
      <c r="M875" s="7"/>
    </row>
    <row r="876" spans="2:13" x14ac:dyDescent="0.25">
      <c r="B876" s="1"/>
      <c r="C876" s="189"/>
      <c r="D876" s="189"/>
      <c r="E876" s="253"/>
      <c r="F876" s="253"/>
      <c r="G876" s="253"/>
      <c r="H876" s="253"/>
      <c r="J876" s="7"/>
      <c r="K876" s="80"/>
      <c r="L876" s="7"/>
      <c r="M876" s="7"/>
    </row>
    <row r="877" spans="2:13" x14ac:dyDescent="0.25">
      <c r="B877" s="217" t="s">
        <v>401</v>
      </c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9"/>
    </row>
    <row r="878" spans="2:13" x14ac:dyDescent="0.25">
      <c r="B878" s="3" t="s">
        <v>402</v>
      </c>
      <c r="C878" s="232" t="s">
        <v>403</v>
      </c>
      <c r="D878" s="232"/>
      <c r="E878" s="232" t="s">
        <v>407</v>
      </c>
      <c r="F878" s="232"/>
      <c r="G878" s="232" t="s">
        <v>405</v>
      </c>
      <c r="H878" s="232"/>
      <c r="I878" s="233" t="s">
        <v>404</v>
      </c>
      <c r="J878" s="233"/>
      <c r="K878" s="234" t="s">
        <v>1241</v>
      </c>
      <c r="L878" s="235"/>
      <c r="M878" s="236"/>
    </row>
    <row r="879" spans="2:13" x14ac:dyDescent="0.25">
      <c r="B879" s="5"/>
      <c r="C879" s="237"/>
      <c r="D879" s="238"/>
      <c r="E879" s="239"/>
      <c r="F879" s="238"/>
      <c r="G879" s="240"/>
      <c r="H879" s="240"/>
      <c r="I879" s="241">
        <v>0.5</v>
      </c>
      <c r="J879" s="241"/>
      <c r="K879" s="242"/>
      <c r="L879" s="243"/>
      <c r="M879" s="244"/>
    </row>
    <row r="880" spans="2:13" x14ac:dyDescent="0.25">
      <c r="B880" s="1"/>
      <c r="C880" s="1"/>
      <c r="D880" s="1"/>
      <c r="E880" s="1"/>
      <c r="F880" s="1"/>
      <c r="G880" s="1"/>
      <c r="H880" s="1"/>
    </row>
    <row r="881" spans="2:13" x14ac:dyDescent="0.25">
      <c r="B881" s="217" t="s">
        <v>408</v>
      </c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9"/>
    </row>
    <row r="882" spans="2:13" x14ac:dyDescent="0.25">
      <c r="B882" s="122" t="s">
        <v>5097</v>
      </c>
      <c r="C882" s="220" t="s">
        <v>5098</v>
      </c>
      <c r="D882" s="220"/>
      <c r="E882" s="330" t="s">
        <v>4674</v>
      </c>
      <c r="F882" s="330"/>
      <c r="G882" s="221" t="s">
        <v>692</v>
      </c>
      <c r="H882" s="221"/>
      <c r="I882" s="220" t="s">
        <v>5099</v>
      </c>
      <c r="J882" s="220"/>
      <c r="K882" s="220" t="s">
        <v>5100</v>
      </c>
      <c r="L882" s="220"/>
      <c r="M882" s="222"/>
    </row>
    <row r="883" spans="2:13" x14ac:dyDescent="0.25">
      <c r="B883" s="124" t="s">
        <v>1609</v>
      </c>
      <c r="C883" s="245" t="s">
        <v>5001</v>
      </c>
      <c r="D883" s="246"/>
      <c r="E883" s="247" t="s">
        <v>5101</v>
      </c>
      <c r="F883" s="247"/>
      <c r="G883" s="247" t="s">
        <v>5102</v>
      </c>
      <c r="H883" s="247"/>
      <c r="I883" s="248" t="s">
        <v>2474</v>
      </c>
      <c r="J883" s="248"/>
      <c r="K883" s="247" t="s">
        <v>2189</v>
      </c>
      <c r="L883" s="247"/>
      <c r="M883" s="249"/>
    </row>
    <row r="884" spans="2:13" x14ac:dyDescent="0.25">
      <c r="B884" s="168" t="s">
        <v>5103</v>
      </c>
      <c r="C884" s="257" t="s">
        <v>422</v>
      </c>
      <c r="D884" s="258"/>
      <c r="E884" s="259" t="s">
        <v>5104</v>
      </c>
      <c r="F884" s="259"/>
      <c r="G884" s="260" t="s">
        <v>573</v>
      </c>
      <c r="H884" s="260"/>
      <c r="I884" s="260" t="s">
        <v>574</v>
      </c>
      <c r="J884" s="260"/>
      <c r="K884" s="260" t="s">
        <v>575</v>
      </c>
      <c r="L884" s="260"/>
      <c r="M884" s="261"/>
    </row>
    <row r="886" spans="2:13" ht="23.25" x14ac:dyDescent="0.35">
      <c r="B886" s="29" t="s">
        <v>334</v>
      </c>
      <c r="C886" s="229" t="s">
        <v>150</v>
      </c>
      <c r="D886" s="229"/>
      <c r="E886" s="229"/>
      <c r="F886" s="229"/>
      <c r="G886" s="229"/>
      <c r="H886" s="229"/>
      <c r="I886" s="229"/>
      <c r="J886" s="229"/>
    </row>
    <row r="887" spans="2:13" ht="18" x14ac:dyDescent="0.25">
      <c r="B887" s="12" t="s">
        <v>335</v>
      </c>
      <c r="C887" s="195" t="s">
        <v>4284</v>
      </c>
      <c r="D887" s="228" t="s">
        <v>427</v>
      </c>
      <c r="E887" s="228"/>
      <c r="F887" s="1" t="s">
        <v>3173</v>
      </c>
      <c r="L887" s="12" t="s">
        <v>339</v>
      </c>
      <c r="M887" s="78" t="s">
        <v>149</v>
      </c>
    </row>
    <row r="889" spans="2:13" x14ac:dyDescent="0.25">
      <c r="B889" s="2" t="s">
        <v>341</v>
      </c>
      <c r="C889" s="250" t="s">
        <v>5105</v>
      </c>
      <c r="D889" s="250"/>
      <c r="E889" s="250" t="s">
        <v>5106</v>
      </c>
      <c r="F889" s="250"/>
      <c r="G889" s="250" t="s">
        <v>954</v>
      </c>
      <c r="H889" s="250"/>
      <c r="I889" s="228" t="s">
        <v>345</v>
      </c>
      <c r="J889" s="228"/>
      <c r="K889" s="228"/>
      <c r="L889" s="228"/>
      <c r="M889" s="228"/>
    </row>
    <row r="890" spans="2:13" x14ac:dyDescent="0.25">
      <c r="C890" s="251"/>
      <c r="D890" s="251"/>
      <c r="E890" s="251"/>
      <c r="F890" s="251"/>
      <c r="G890" s="251"/>
      <c r="H890" s="251"/>
      <c r="I890" s="7"/>
      <c r="J890" s="7"/>
      <c r="K890" s="7"/>
      <c r="L890" s="7"/>
      <c r="M890" s="7"/>
    </row>
    <row r="891" spans="2:13" x14ac:dyDescent="0.25">
      <c r="B891" s="11" t="s">
        <v>5107</v>
      </c>
      <c r="C891" s="323" t="s">
        <v>966</v>
      </c>
      <c r="D891" s="323" t="s">
        <v>744</v>
      </c>
      <c r="E891" s="252" t="s">
        <v>5108</v>
      </c>
      <c r="F891" s="252" t="s">
        <v>508</v>
      </c>
      <c r="G891" s="252" t="s">
        <v>5109</v>
      </c>
      <c r="H891" s="252" t="s">
        <v>390</v>
      </c>
      <c r="I891" s="14"/>
      <c r="J891" s="7"/>
      <c r="K891" s="7"/>
      <c r="L891" s="7"/>
      <c r="M891" s="7"/>
    </row>
    <row r="892" spans="2:13" x14ac:dyDescent="0.25">
      <c r="B892" s="11" t="s">
        <v>1598</v>
      </c>
      <c r="C892" s="205"/>
      <c r="D892" s="205"/>
      <c r="E892" s="252"/>
      <c r="F892" s="252"/>
      <c r="G892" s="252"/>
      <c r="H892" s="252"/>
      <c r="I892" s="14"/>
      <c r="J892" s="7"/>
      <c r="K892" s="7"/>
      <c r="L892" s="7"/>
      <c r="M892" s="7"/>
    </row>
    <row r="893" spans="2:13" x14ac:dyDescent="0.25">
      <c r="B893" s="1" t="s">
        <v>5110</v>
      </c>
      <c r="C893" s="290" t="s">
        <v>854</v>
      </c>
      <c r="D893" s="290" t="s">
        <v>390</v>
      </c>
      <c r="E893" s="253" t="s">
        <v>1657</v>
      </c>
      <c r="F893" s="253" t="s">
        <v>392</v>
      </c>
      <c r="G893" s="253" t="s">
        <v>5111</v>
      </c>
      <c r="H893" s="253" t="s">
        <v>789</v>
      </c>
      <c r="I893" s="14"/>
      <c r="J893" s="7"/>
      <c r="K893" s="7"/>
      <c r="L893" s="7"/>
      <c r="M893" s="7"/>
    </row>
    <row r="894" spans="2:13" x14ac:dyDescent="0.25">
      <c r="B894" s="1"/>
      <c r="C894" s="189"/>
      <c r="D894" s="189"/>
      <c r="E894" s="253"/>
      <c r="F894" s="253"/>
      <c r="G894" s="253"/>
      <c r="H894" s="253"/>
      <c r="I894" s="14"/>
      <c r="J894" s="7"/>
      <c r="K894" s="7"/>
      <c r="L894" s="7"/>
      <c r="M894" s="7"/>
    </row>
    <row r="895" spans="2:13" x14ac:dyDescent="0.25">
      <c r="B895" s="11" t="s">
        <v>5112</v>
      </c>
      <c r="C895" s="323" t="s">
        <v>854</v>
      </c>
      <c r="D895" s="323" t="s">
        <v>744</v>
      </c>
      <c r="E895" s="252" t="s">
        <v>1657</v>
      </c>
      <c r="F895" s="252" t="s">
        <v>508</v>
      </c>
      <c r="G895" s="252" t="s">
        <v>5111</v>
      </c>
      <c r="H895" s="252" t="s">
        <v>390</v>
      </c>
      <c r="I895" s="14"/>
      <c r="J895" s="7"/>
      <c r="K895" s="80"/>
      <c r="L895" s="7"/>
      <c r="M895" s="7"/>
    </row>
    <row r="896" spans="2:13" x14ac:dyDescent="0.25">
      <c r="B896" s="11" t="s">
        <v>1598</v>
      </c>
      <c r="C896" s="188"/>
      <c r="D896" s="188"/>
      <c r="E896" s="252"/>
      <c r="F896" s="252"/>
      <c r="G896" s="252"/>
      <c r="H896" s="252"/>
      <c r="I896" s="14"/>
      <c r="J896" s="7"/>
      <c r="K896" s="80"/>
      <c r="L896" s="7"/>
      <c r="M896" s="7"/>
    </row>
    <row r="897" spans="2:13" x14ac:dyDescent="0.25">
      <c r="B897" s="1" t="s">
        <v>5113</v>
      </c>
      <c r="C897" s="290" t="s">
        <v>854</v>
      </c>
      <c r="D897" s="290" t="s">
        <v>4356</v>
      </c>
      <c r="E897" s="253" t="s">
        <v>1657</v>
      </c>
      <c r="F897" s="253" t="s">
        <v>854</v>
      </c>
      <c r="G897" s="253" t="s">
        <v>5111</v>
      </c>
      <c r="H897" s="253" t="s">
        <v>1443</v>
      </c>
      <c r="I897" s="14"/>
      <c r="J897" s="7"/>
      <c r="K897" s="80"/>
      <c r="L897" s="7"/>
      <c r="M897" s="7"/>
    </row>
    <row r="898" spans="2:13" x14ac:dyDescent="0.25">
      <c r="B898" s="1" t="s">
        <v>1598</v>
      </c>
      <c r="C898" s="189"/>
      <c r="D898" s="189"/>
      <c r="E898" s="253"/>
      <c r="F898" s="253"/>
      <c r="G898" s="253"/>
      <c r="H898" s="253"/>
      <c r="J898" s="7"/>
      <c r="K898" s="80"/>
      <c r="L898" s="7"/>
      <c r="M898" s="7"/>
    </row>
    <row r="899" spans="2:13" x14ac:dyDescent="0.25">
      <c r="B899" s="11" t="s">
        <v>5114</v>
      </c>
      <c r="C899" s="323" t="s">
        <v>789</v>
      </c>
      <c r="D899" s="323" t="s">
        <v>744</v>
      </c>
      <c r="E899" s="252" t="s">
        <v>4511</v>
      </c>
      <c r="F899" s="252" t="s">
        <v>508</v>
      </c>
      <c r="G899" s="252" t="s">
        <v>4507</v>
      </c>
      <c r="H899" s="252" t="s">
        <v>390</v>
      </c>
      <c r="I899" s="14"/>
      <c r="K899" s="80"/>
      <c r="L899" s="7"/>
      <c r="M899" s="7"/>
    </row>
    <row r="900" spans="2:13" x14ac:dyDescent="0.25">
      <c r="B900" s="11"/>
      <c r="C900" s="188"/>
      <c r="D900" s="188"/>
      <c r="E900" s="252"/>
      <c r="F900" s="252"/>
      <c r="G900" s="252"/>
      <c r="H900" s="252"/>
      <c r="I900" s="14" t="s">
        <v>5115</v>
      </c>
      <c r="J900" s="7"/>
      <c r="K900" s="80"/>
      <c r="L900" s="7"/>
      <c r="M900" s="7"/>
    </row>
    <row r="901" spans="2:13" x14ac:dyDescent="0.25">
      <c r="B901" s="1" t="s">
        <v>1408</v>
      </c>
      <c r="C901" s="290" t="s">
        <v>508</v>
      </c>
      <c r="D901" s="290" t="s">
        <v>4356</v>
      </c>
      <c r="E901" s="253" t="s">
        <v>382</v>
      </c>
      <c r="F901" s="253" t="s">
        <v>854</v>
      </c>
      <c r="G901" s="253" t="s">
        <v>383</v>
      </c>
      <c r="H901" s="253" t="s">
        <v>1443</v>
      </c>
      <c r="I901" s="14"/>
      <c r="J901" s="14"/>
      <c r="K901" s="80"/>
      <c r="L901" s="7"/>
      <c r="M901" s="7"/>
    </row>
    <row r="902" spans="2:13" x14ac:dyDescent="0.25">
      <c r="B902" s="1"/>
      <c r="C902" s="199"/>
      <c r="D902" s="199"/>
      <c r="E902" s="253"/>
      <c r="F902" s="253"/>
      <c r="G902" s="253"/>
      <c r="H902" s="253"/>
      <c r="I902" s="14"/>
      <c r="J902" s="14"/>
      <c r="K902" s="80"/>
      <c r="L902" s="7"/>
      <c r="M902" s="7"/>
    </row>
    <row r="903" spans="2:13" x14ac:dyDescent="0.25">
      <c r="B903" s="11" t="s">
        <v>457</v>
      </c>
      <c r="C903" s="323" t="s">
        <v>2250</v>
      </c>
      <c r="D903" s="323" t="s">
        <v>657</v>
      </c>
      <c r="E903" s="252" t="s">
        <v>5116</v>
      </c>
      <c r="F903" s="252" t="s">
        <v>486</v>
      </c>
      <c r="G903" s="252" t="s">
        <v>5117</v>
      </c>
      <c r="H903" s="252" t="s">
        <v>4369</v>
      </c>
      <c r="I903" s="14"/>
      <c r="K903" s="80"/>
      <c r="L903" s="7"/>
      <c r="M903" s="7"/>
    </row>
    <row r="904" spans="2:13" x14ac:dyDescent="0.25">
      <c r="B904" s="11"/>
      <c r="C904" s="205"/>
      <c r="D904" s="205"/>
      <c r="E904" s="252"/>
      <c r="F904" s="252"/>
      <c r="G904" s="252"/>
      <c r="H904" s="252"/>
      <c r="I904" s="14"/>
      <c r="K904" s="81"/>
    </row>
    <row r="905" spans="2:13" x14ac:dyDescent="0.25">
      <c r="B905" s="1" t="s">
        <v>454</v>
      </c>
      <c r="C905" s="290" t="s">
        <v>880</v>
      </c>
      <c r="D905" s="290" t="s">
        <v>495</v>
      </c>
      <c r="E905" s="253" t="s">
        <v>1053</v>
      </c>
      <c r="F905" s="253" t="s">
        <v>2708</v>
      </c>
      <c r="G905" s="253" t="s">
        <v>5118</v>
      </c>
      <c r="H905" s="253" t="s">
        <v>437</v>
      </c>
      <c r="I905" s="14"/>
      <c r="K905" s="81"/>
    </row>
    <row r="906" spans="2:13" x14ac:dyDescent="0.25">
      <c r="B906" s="1"/>
      <c r="C906" s="199"/>
      <c r="D906" s="199"/>
      <c r="E906" s="189"/>
      <c r="F906" s="189"/>
      <c r="G906" s="189"/>
      <c r="H906" s="189"/>
      <c r="I906" s="14"/>
      <c r="K906" s="81"/>
    </row>
    <row r="907" spans="2:13" x14ac:dyDescent="0.25">
      <c r="B907" s="11" t="s">
        <v>889</v>
      </c>
      <c r="C907" s="323" t="s">
        <v>516</v>
      </c>
      <c r="D907" s="323" t="s">
        <v>657</v>
      </c>
      <c r="E907" s="252" t="s">
        <v>5119</v>
      </c>
      <c r="F907" s="252" t="s">
        <v>486</v>
      </c>
      <c r="G907" s="252" t="s">
        <v>5120</v>
      </c>
      <c r="H907" s="252" t="s">
        <v>4369</v>
      </c>
      <c r="I907" s="14"/>
      <c r="K907" s="81"/>
    </row>
    <row r="908" spans="2:13" x14ac:dyDescent="0.25">
      <c r="B908" s="11"/>
      <c r="C908" s="205"/>
      <c r="D908" s="205"/>
      <c r="E908" s="252"/>
      <c r="F908" s="252"/>
      <c r="G908" s="252"/>
      <c r="H908" s="252"/>
      <c r="I908" s="14"/>
      <c r="K908" s="81"/>
    </row>
    <row r="909" spans="2:13" x14ac:dyDescent="0.25">
      <c r="B909" s="1" t="s">
        <v>1224</v>
      </c>
      <c r="C909" s="290" t="s">
        <v>516</v>
      </c>
      <c r="D909" s="290" t="s">
        <v>495</v>
      </c>
      <c r="E909" s="253" t="s">
        <v>5119</v>
      </c>
      <c r="F909" s="253" t="s">
        <v>2708</v>
      </c>
      <c r="G909" s="253" t="s">
        <v>5120</v>
      </c>
      <c r="H909" s="253" t="s">
        <v>437</v>
      </c>
      <c r="I909" s="14"/>
      <c r="K909" s="81"/>
    </row>
    <row r="910" spans="2:13" x14ac:dyDescent="0.25">
      <c r="B910" s="1"/>
      <c r="C910" s="199"/>
      <c r="D910" s="199"/>
      <c r="E910" s="189"/>
      <c r="F910" s="189"/>
      <c r="G910" s="189"/>
      <c r="H910" s="189"/>
      <c r="I910" s="14"/>
      <c r="K910" s="81"/>
    </row>
    <row r="911" spans="2:13" x14ac:dyDescent="0.25">
      <c r="B911" s="11" t="s">
        <v>518</v>
      </c>
      <c r="C911" s="323" t="s">
        <v>744</v>
      </c>
      <c r="D911" s="323" t="s">
        <v>657</v>
      </c>
      <c r="E911" s="252" t="s">
        <v>2563</v>
      </c>
      <c r="F911" s="252" t="s">
        <v>486</v>
      </c>
      <c r="G911" s="252" t="s">
        <v>5121</v>
      </c>
      <c r="H911" s="252" t="s">
        <v>4369</v>
      </c>
      <c r="I911" s="14"/>
      <c r="K911" s="81"/>
    </row>
    <row r="912" spans="2:13" x14ac:dyDescent="0.25">
      <c r="B912" s="11"/>
      <c r="C912" s="205"/>
      <c r="D912" s="205"/>
      <c r="E912" s="252"/>
      <c r="F912" s="252"/>
      <c r="G912" s="252"/>
      <c r="H912" s="252"/>
      <c r="I912" s="14"/>
      <c r="K912" s="81"/>
    </row>
    <row r="913" spans="2:13" x14ac:dyDescent="0.25">
      <c r="B913" s="1" t="s">
        <v>1046</v>
      </c>
      <c r="C913" s="290" t="s">
        <v>744</v>
      </c>
      <c r="D913" s="290" t="s">
        <v>495</v>
      </c>
      <c r="E913" s="253" t="s">
        <v>2563</v>
      </c>
      <c r="F913" s="253" t="s">
        <v>2708</v>
      </c>
      <c r="G913" s="253" t="s">
        <v>5121</v>
      </c>
      <c r="H913" s="253" t="s">
        <v>437</v>
      </c>
      <c r="I913" s="14"/>
      <c r="K913" s="81"/>
    </row>
    <row r="914" spans="2:13" x14ac:dyDescent="0.25">
      <c r="B914" s="1"/>
      <c r="C914" s="199"/>
      <c r="D914" s="199"/>
      <c r="E914" s="189"/>
      <c r="F914" s="189"/>
      <c r="G914" s="189"/>
      <c r="H914" s="189"/>
      <c r="I914" s="14"/>
      <c r="K914" s="81"/>
    </row>
    <row r="915" spans="2:13" x14ac:dyDescent="0.25">
      <c r="B915" s="217" t="s">
        <v>401</v>
      </c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9"/>
    </row>
    <row r="916" spans="2:13" x14ac:dyDescent="0.25">
      <c r="B916" s="3" t="s">
        <v>402</v>
      </c>
      <c r="C916" s="232" t="s">
        <v>403</v>
      </c>
      <c r="D916" s="232"/>
      <c r="E916" s="232" t="s">
        <v>407</v>
      </c>
      <c r="F916" s="232"/>
      <c r="G916" s="232" t="s">
        <v>3730</v>
      </c>
      <c r="H916" s="232"/>
      <c r="I916" s="233" t="s">
        <v>404</v>
      </c>
      <c r="J916" s="233"/>
      <c r="K916" s="234" t="s">
        <v>1241</v>
      </c>
      <c r="L916" s="235"/>
      <c r="M916" s="236"/>
    </row>
    <row r="917" spans="2:13" x14ac:dyDescent="0.25">
      <c r="B917" s="5"/>
      <c r="C917" s="237"/>
      <c r="D917" s="238"/>
      <c r="E917" s="239">
        <v>0.1265</v>
      </c>
      <c r="F917" s="238"/>
      <c r="G917" s="240">
        <v>0.01</v>
      </c>
      <c r="H917" s="240"/>
      <c r="I917" s="241">
        <v>0.36399999999999999</v>
      </c>
      <c r="J917" s="241"/>
      <c r="K917" s="242"/>
      <c r="L917" s="243"/>
      <c r="M917" s="244"/>
    </row>
    <row r="918" spans="2:13" x14ac:dyDescent="0.25">
      <c r="B918" s="1"/>
      <c r="C918" s="1"/>
      <c r="D918" s="1"/>
      <c r="E918" s="1"/>
      <c r="F918" s="1"/>
      <c r="G918" s="1"/>
      <c r="H918" s="1"/>
    </row>
    <row r="919" spans="2:13" x14ac:dyDescent="0.25">
      <c r="B919" s="217" t="s">
        <v>408</v>
      </c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9"/>
    </row>
    <row r="920" spans="2:13" x14ac:dyDescent="0.25">
      <c r="B920" s="122" t="s">
        <v>5122</v>
      </c>
      <c r="C920" s="220" t="s">
        <v>5123</v>
      </c>
      <c r="D920" s="220"/>
      <c r="E920" s="330" t="s">
        <v>4593</v>
      </c>
      <c r="F920" s="330"/>
      <c r="G920" s="221" t="s">
        <v>692</v>
      </c>
      <c r="H920" s="221"/>
      <c r="I920" s="220" t="s">
        <v>5124</v>
      </c>
      <c r="J920" s="220"/>
      <c r="K920" s="220" t="s">
        <v>5125</v>
      </c>
      <c r="L920" s="220"/>
      <c r="M920" s="222"/>
    </row>
    <row r="921" spans="2:13" x14ac:dyDescent="0.25">
      <c r="B921" s="124" t="s">
        <v>565</v>
      </c>
      <c r="C921" s="245" t="s">
        <v>416</v>
      </c>
      <c r="D921" s="246"/>
      <c r="E921" s="248" t="s">
        <v>5126</v>
      </c>
      <c r="F921" s="248"/>
      <c r="G921" s="247" t="s">
        <v>4562</v>
      </c>
      <c r="H921" s="247"/>
      <c r="I921" s="248" t="s">
        <v>5127</v>
      </c>
      <c r="J921" s="248"/>
      <c r="K921" s="247" t="s">
        <v>5128</v>
      </c>
      <c r="L921" s="247"/>
      <c r="M921" s="249"/>
    </row>
    <row r="922" spans="2:13" x14ac:dyDescent="0.25">
      <c r="B922" s="168" t="s">
        <v>939</v>
      </c>
      <c r="C922" s="257" t="s">
        <v>422</v>
      </c>
      <c r="D922" s="258"/>
      <c r="E922" s="259" t="s">
        <v>5129</v>
      </c>
      <c r="F922" s="259"/>
      <c r="G922" s="260" t="s">
        <v>2606</v>
      </c>
      <c r="H922" s="260"/>
      <c r="I922" s="260" t="s">
        <v>5130</v>
      </c>
      <c r="J922" s="260"/>
      <c r="K922" s="260" t="s">
        <v>575</v>
      </c>
      <c r="L922" s="260"/>
      <c r="M922" s="261"/>
    </row>
    <row r="924" spans="2:13" ht="23.25" x14ac:dyDescent="0.35">
      <c r="B924" s="29" t="s">
        <v>334</v>
      </c>
      <c r="C924" s="229" t="s">
        <v>5131</v>
      </c>
      <c r="D924" s="229"/>
      <c r="E924" s="229"/>
      <c r="F924" s="229"/>
      <c r="G924" s="229"/>
      <c r="H924" s="229"/>
      <c r="I924" s="229"/>
      <c r="J924" s="229"/>
    </row>
    <row r="925" spans="2:13" ht="18" x14ac:dyDescent="0.25">
      <c r="B925" s="12" t="s">
        <v>335</v>
      </c>
      <c r="C925" s="195" t="s">
        <v>4284</v>
      </c>
      <c r="D925" s="228" t="s">
        <v>427</v>
      </c>
      <c r="E925" s="228"/>
      <c r="F925" s="1" t="s">
        <v>3173</v>
      </c>
      <c r="L925" s="12" t="s">
        <v>339</v>
      </c>
      <c r="M925" s="78" t="s">
        <v>157</v>
      </c>
    </row>
    <row r="927" spans="2:13" x14ac:dyDescent="0.25">
      <c r="B927" s="2" t="s">
        <v>341</v>
      </c>
      <c r="C927" s="250" t="s">
        <v>2609</v>
      </c>
      <c r="D927" s="250"/>
      <c r="E927" s="250" t="s">
        <v>5106</v>
      </c>
      <c r="F927" s="250"/>
      <c r="G927" s="250" t="s">
        <v>954</v>
      </c>
      <c r="H927" s="250"/>
      <c r="I927" s="228" t="s">
        <v>345</v>
      </c>
      <c r="J927" s="228"/>
      <c r="K927" s="228"/>
      <c r="L927" s="228"/>
      <c r="M927" s="228"/>
    </row>
    <row r="928" spans="2:13" x14ac:dyDescent="0.25">
      <c r="C928" s="251"/>
      <c r="D928" s="251"/>
      <c r="E928" s="251"/>
      <c r="F928" s="251"/>
      <c r="G928" s="251"/>
      <c r="H928" s="251"/>
      <c r="I928" s="7"/>
      <c r="J928" s="7"/>
      <c r="K928" s="7"/>
      <c r="L928" s="7"/>
      <c r="M928" s="7"/>
    </row>
    <row r="929" spans="2:13" x14ac:dyDescent="0.25">
      <c r="B929" s="11" t="s">
        <v>5132</v>
      </c>
      <c r="C929" s="323" t="s">
        <v>966</v>
      </c>
      <c r="D929" s="323" t="s">
        <v>744</v>
      </c>
      <c r="E929" s="252" t="s">
        <v>3177</v>
      </c>
      <c r="F929" s="252" t="s">
        <v>508</v>
      </c>
      <c r="G929" s="252" t="s">
        <v>5133</v>
      </c>
      <c r="H929" s="252" t="s">
        <v>390</v>
      </c>
      <c r="I929" s="14"/>
      <c r="J929" s="7"/>
      <c r="K929" s="7"/>
      <c r="L929" s="7"/>
      <c r="M929" s="7"/>
    </row>
    <row r="930" spans="2:13" x14ac:dyDescent="0.25">
      <c r="B930" s="11"/>
      <c r="C930" s="205"/>
      <c r="D930" s="205"/>
      <c r="E930" s="252"/>
      <c r="F930" s="252"/>
      <c r="G930" s="252"/>
      <c r="H930" s="252"/>
      <c r="I930" s="14"/>
      <c r="J930" s="7"/>
      <c r="K930" s="7"/>
      <c r="L930" s="7"/>
      <c r="M930" s="7"/>
    </row>
    <row r="931" spans="2:13" x14ac:dyDescent="0.25">
      <c r="B931" s="1" t="s">
        <v>1458</v>
      </c>
      <c r="C931" s="290" t="s">
        <v>390</v>
      </c>
      <c r="D931" s="290" t="s">
        <v>390</v>
      </c>
      <c r="E931" s="253" t="s">
        <v>1109</v>
      </c>
      <c r="F931" s="253" t="s">
        <v>392</v>
      </c>
      <c r="G931" s="253" t="s">
        <v>463</v>
      </c>
      <c r="H931" s="253" t="s">
        <v>789</v>
      </c>
      <c r="I931" s="14"/>
      <c r="J931" s="7"/>
      <c r="K931" s="7"/>
      <c r="L931" s="7"/>
      <c r="M931" s="7"/>
    </row>
    <row r="932" spans="2:13" x14ac:dyDescent="0.25">
      <c r="B932" s="1"/>
      <c r="C932" s="189"/>
      <c r="D932" s="189"/>
      <c r="E932" s="253"/>
      <c r="F932" s="253"/>
      <c r="G932" s="253"/>
      <c r="H932" s="253"/>
      <c r="I932" s="14"/>
      <c r="J932" s="7"/>
      <c r="K932" s="7"/>
      <c r="L932" s="7"/>
      <c r="M932" s="7"/>
    </row>
    <row r="933" spans="2:13" x14ac:dyDescent="0.25">
      <c r="B933" s="11" t="s">
        <v>2244</v>
      </c>
      <c r="C933" s="323" t="s">
        <v>508</v>
      </c>
      <c r="D933" s="323" t="s">
        <v>744</v>
      </c>
      <c r="E933" s="252" t="s">
        <v>5076</v>
      </c>
      <c r="F933" s="252" t="s">
        <v>508</v>
      </c>
      <c r="G933" s="252" t="s">
        <v>3457</v>
      </c>
      <c r="H933" s="252" t="s">
        <v>390</v>
      </c>
      <c r="I933" s="14"/>
      <c r="J933" s="7"/>
      <c r="K933" s="80"/>
      <c r="L933" s="7"/>
      <c r="M933" s="7"/>
    </row>
    <row r="934" spans="2:13" x14ac:dyDescent="0.25">
      <c r="B934" s="11"/>
      <c r="C934" s="188"/>
      <c r="D934" s="188"/>
      <c r="E934" s="252"/>
      <c r="F934" s="252"/>
      <c r="G934" s="252"/>
      <c r="H934" s="252"/>
      <c r="I934" s="14"/>
      <c r="J934" s="7"/>
      <c r="K934" s="80"/>
      <c r="L934" s="7"/>
      <c r="M934" s="7"/>
    </row>
    <row r="935" spans="2:13" x14ac:dyDescent="0.25">
      <c r="B935" s="1" t="s">
        <v>5134</v>
      </c>
      <c r="C935" s="290" t="s">
        <v>508</v>
      </c>
      <c r="D935" s="290" t="s">
        <v>4356</v>
      </c>
      <c r="E935" s="253" t="s">
        <v>5076</v>
      </c>
      <c r="F935" s="253" t="s">
        <v>854</v>
      </c>
      <c r="G935" s="253" t="s">
        <v>3457</v>
      </c>
      <c r="H935" s="253" t="s">
        <v>1443</v>
      </c>
      <c r="I935" s="14"/>
      <c r="J935" s="7"/>
      <c r="K935" s="80"/>
      <c r="L935" s="7"/>
      <c r="M935" s="7"/>
    </row>
    <row r="936" spans="2:13" x14ac:dyDescent="0.25">
      <c r="B936" s="1"/>
      <c r="C936" s="189"/>
      <c r="D936" s="189"/>
      <c r="E936" s="253"/>
      <c r="F936" s="253"/>
      <c r="G936" s="253"/>
      <c r="H936" s="253"/>
      <c r="J936" s="7"/>
      <c r="K936" s="80"/>
      <c r="L936" s="7"/>
      <c r="M936" s="7"/>
    </row>
    <row r="937" spans="2:13" x14ac:dyDescent="0.25">
      <c r="B937" s="11" t="s">
        <v>5135</v>
      </c>
      <c r="C937" s="323" t="s">
        <v>486</v>
      </c>
      <c r="D937" s="323" t="s">
        <v>744</v>
      </c>
      <c r="E937" s="252" t="s">
        <v>1202</v>
      </c>
      <c r="F937" s="252" t="s">
        <v>508</v>
      </c>
      <c r="G937" s="252" t="s">
        <v>2498</v>
      </c>
      <c r="H937" s="252" t="s">
        <v>390</v>
      </c>
      <c r="I937" s="14"/>
      <c r="K937" s="80"/>
      <c r="L937" s="7"/>
      <c r="M937" s="7"/>
    </row>
    <row r="938" spans="2:13" x14ac:dyDescent="0.25">
      <c r="B938" s="11"/>
      <c r="C938" s="188"/>
      <c r="D938" s="188"/>
      <c r="E938" s="252"/>
      <c r="F938" s="252"/>
      <c r="G938" s="252"/>
      <c r="H938" s="252"/>
      <c r="I938" s="14"/>
      <c r="J938" s="7"/>
      <c r="K938" s="80"/>
      <c r="L938" s="7"/>
      <c r="M938" s="7"/>
    </row>
    <row r="939" spans="2:13" x14ac:dyDescent="0.25">
      <c r="B939" s="1" t="s">
        <v>518</v>
      </c>
      <c r="C939" s="290" t="s">
        <v>880</v>
      </c>
      <c r="D939" s="290" t="s">
        <v>4356</v>
      </c>
      <c r="E939" s="253" t="s">
        <v>2497</v>
      </c>
      <c r="F939" s="253" t="s">
        <v>854</v>
      </c>
      <c r="G939" s="253" t="s">
        <v>5136</v>
      </c>
      <c r="H939" s="253" t="s">
        <v>1443</v>
      </c>
      <c r="I939" s="14"/>
      <c r="J939" s="14"/>
      <c r="K939" s="80"/>
      <c r="L939" s="7"/>
      <c r="M939" s="7"/>
    </row>
    <row r="940" spans="2:13" x14ac:dyDescent="0.25">
      <c r="B940" s="1"/>
      <c r="C940" s="199"/>
      <c r="D940" s="199"/>
      <c r="E940" s="253"/>
      <c r="F940" s="253"/>
      <c r="G940" s="253"/>
      <c r="H940" s="253"/>
      <c r="I940" s="14"/>
      <c r="J940" s="14"/>
      <c r="K940" s="80"/>
      <c r="L940" s="7"/>
      <c r="M940" s="7"/>
    </row>
    <row r="941" spans="2:13" x14ac:dyDescent="0.25">
      <c r="B941" s="11" t="s">
        <v>1046</v>
      </c>
      <c r="C941" s="323" t="s">
        <v>516</v>
      </c>
      <c r="D941" s="323" t="s">
        <v>657</v>
      </c>
      <c r="E941" s="252" t="s">
        <v>5137</v>
      </c>
      <c r="F941" s="252" t="s">
        <v>486</v>
      </c>
      <c r="G941" s="252" t="s">
        <v>4230</v>
      </c>
      <c r="H941" s="252" t="s">
        <v>4369</v>
      </c>
      <c r="I941" s="14"/>
      <c r="K941" s="80"/>
      <c r="L941" s="7"/>
      <c r="M941" s="7"/>
    </row>
    <row r="942" spans="2:13" x14ac:dyDescent="0.25">
      <c r="B942" s="11"/>
      <c r="C942" s="205"/>
      <c r="D942" s="205"/>
      <c r="E942" s="252"/>
      <c r="F942" s="252"/>
      <c r="G942" s="252"/>
      <c r="H942" s="252"/>
      <c r="I942" s="14" t="s">
        <v>5138</v>
      </c>
      <c r="K942" s="81"/>
    </row>
    <row r="943" spans="2:13" x14ac:dyDescent="0.25">
      <c r="B943" s="1" t="s">
        <v>457</v>
      </c>
      <c r="C943" s="290" t="s">
        <v>516</v>
      </c>
      <c r="D943" s="290" t="s">
        <v>495</v>
      </c>
      <c r="E943" s="253" t="s">
        <v>5137</v>
      </c>
      <c r="F943" s="253" t="s">
        <v>2708</v>
      </c>
      <c r="G943" s="253" t="s">
        <v>4230</v>
      </c>
      <c r="H943" s="253" t="s">
        <v>437</v>
      </c>
      <c r="I943" s="14"/>
      <c r="K943" s="81"/>
    </row>
    <row r="944" spans="2:13" x14ac:dyDescent="0.25">
      <c r="B944" s="1"/>
      <c r="C944" s="199"/>
      <c r="D944" s="199"/>
      <c r="E944" s="189"/>
      <c r="F944" s="189"/>
      <c r="G944" s="189"/>
      <c r="H944" s="189"/>
      <c r="I944" s="14"/>
      <c r="K944" s="81"/>
    </row>
    <row r="945" spans="2:13" x14ac:dyDescent="0.25">
      <c r="B945" s="11" t="s">
        <v>5139</v>
      </c>
      <c r="C945" s="323" t="s">
        <v>516</v>
      </c>
      <c r="D945" s="323" t="s">
        <v>657</v>
      </c>
      <c r="E945" s="252" t="s">
        <v>5137</v>
      </c>
      <c r="F945" s="252" t="s">
        <v>486</v>
      </c>
      <c r="G945" s="252" t="s">
        <v>4230</v>
      </c>
      <c r="H945" s="252" t="s">
        <v>4369</v>
      </c>
      <c r="I945" s="14"/>
      <c r="K945" s="81"/>
    </row>
    <row r="946" spans="2:13" x14ac:dyDescent="0.25">
      <c r="B946" s="11"/>
      <c r="C946" s="205"/>
      <c r="D946" s="205"/>
      <c r="E946" s="252"/>
      <c r="F946" s="252"/>
      <c r="G946" s="252"/>
      <c r="H946" s="252"/>
      <c r="I946" s="14"/>
      <c r="K946" s="81"/>
    </row>
    <row r="947" spans="2:13" x14ac:dyDescent="0.25">
      <c r="B947" s="32" t="s">
        <v>5140</v>
      </c>
      <c r="C947" s="332" t="s">
        <v>527</v>
      </c>
      <c r="D947" s="332" t="s">
        <v>657</v>
      </c>
      <c r="E947" s="255" t="s">
        <v>5141</v>
      </c>
      <c r="F947" s="255" t="s">
        <v>486</v>
      </c>
      <c r="G947" s="255" t="s">
        <v>5142</v>
      </c>
      <c r="H947" s="255" t="s">
        <v>4369</v>
      </c>
      <c r="I947" s="14"/>
      <c r="K947" s="81"/>
    </row>
    <row r="948" spans="2:13" x14ac:dyDescent="0.25">
      <c r="B948" s="32"/>
      <c r="C948" s="207"/>
      <c r="D948" s="207"/>
      <c r="E948" s="255"/>
      <c r="F948" s="255"/>
      <c r="G948" s="255"/>
      <c r="H948" s="255"/>
      <c r="I948" s="14"/>
      <c r="K948" s="81"/>
    </row>
    <row r="949" spans="2:13" x14ac:dyDescent="0.25">
      <c r="B949" s="217" t="s">
        <v>401</v>
      </c>
      <c r="C949" s="218"/>
      <c r="D949" s="218"/>
      <c r="E949" s="218"/>
      <c r="F949" s="218"/>
      <c r="G949" s="218"/>
      <c r="H949" s="218"/>
      <c r="I949" s="218"/>
      <c r="J949" s="218"/>
      <c r="K949" s="218"/>
      <c r="L949" s="218"/>
      <c r="M949" s="219"/>
    </row>
    <row r="950" spans="2:13" x14ac:dyDescent="0.25">
      <c r="B950" s="3" t="s">
        <v>402</v>
      </c>
      <c r="C950" s="232" t="s">
        <v>403</v>
      </c>
      <c r="D950" s="232"/>
      <c r="E950" s="232" t="s">
        <v>407</v>
      </c>
      <c r="F950" s="232"/>
      <c r="G950" s="232" t="s">
        <v>3730</v>
      </c>
      <c r="H950" s="232"/>
      <c r="I950" s="233" t="s">
        <v>404</v>
      </c>
      <c r="J950" s="233"/>
      <c r="K950" s="234" t="s">
        <v>1241</v>
      </c>
      <c r="L950" s="235"/>
      <c r="M950" s="236"/>
    </row>
    <row r="951" spans="2:13" x14ac:dyDescent="0.25">
      <c r="B951" s="5"/>
      <c r="C951" s="237"/>
      <c r="D951" s="238"/>
      <c r="E951" s="239">
        <v>0.55000000000000004</v>
      </c>
      <c r="F951" s="238"/>
      <c r="G951" s="240"/>
      <c r="H951" s="240"/>
      <c r="I951" s="241"/>
      <c r="J951" s="241"/>
      <c r="K951" s="242">
        <v>3.44E-2</v>
      </c>
      <c r="L951" s="243"/>
      <c r="M951" s="244"/>
    </row>
    <row r="952" spans="2:13" x14ac:dyDescent="0.25">
      <c r="B952" s="1"/>
      <c r="C952" s="1"/>
      <c r="D952" s="1"/>
      <c r="E952" s="1"/>
      <c r="F952" s="1"/>
      <c r="G952" s="1"/>
      <c r="H952" s="1"/>
    </row>
    <row r="953" spans="2:13" x14ac:dyDescent="0.25">
      <c r="B953" s="217" t="s">
        <v>408</v>
      </c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9"/>
    </row>
    <row r="954" spans="2:13" x14ac:dyDescent="0.25">
      <c r="B954" s="122" t="s">
        <v>2767</v>
      </c>
      <c r="C954" s="220" t="s">
        <v>5123</v>
      </c>
      <c r="D954" s="220"/>
      <c r="E954" s="330" t="s">
        <v>4593</v>
      </c>
      <c r="F954" s="330"/>
      <c r="G954" s="221" t="s">
        <v>692</v>
      </c>
      <c r="H954" s="221"/>
      <c r="I954" s="220" t="s">
        <v>5143</v>
      </c>
      <c r="J954" s="220"/>
      <c r="K954" s="220" t="s">
        <v>5144</v>
      </c>
      <c r="L954" s="220"/>
      <c r="M954" s="222"/>
    </row>
    <row r="955" spans="2:13" x14ac:dyDescent="0.25">
      <c r="B955" s="124" t="s">
        <v>4736</v>
      </c>
      <c r="C955" s="245" t="s">
        <v>916</v>
      </c>
      <c r="D955" s="246"/>
      <c r="E955" s="247" t="s">
        <v>5145</v>
      </c>
      <c r="F955" s="247"/>
      <c r="G955" s="247" t="s">
        <v>4647</v>
      </c>
      <c r="H955" s="247"/>
      <c r="I955" s="248" t="s">
        <v>5146</v>
      </c>
      <c r="J955" s="248"/>
      <c r="K955" s="247" t="s">
        <v>5147</v>
      </c>
      <c r="L955" s="247"/>
      <c r="M955" s="249"/>
    </row>
    <row r="956" spans="2:13" x14ac:dyDescent="0.25">
      <c r="B956" s="168" t="s">
        <v>939</v>
      </c>
      <c r="C956" s="257" t="s">
        <v>422</v>
      </c>
      <c r="D956" s="258"/>
      <c r="E956" s="259" t="s">
        <v>5129</v>
      </c>
      <c r="F956" s="259"/>
      <c r="G956" s="260" t="s">
        <v>2606</v>
      </c>
      <c r="H956" s="260"/>
      <c r="I956" s="260" t="s">
        <v>4651</v>
      </c>
      <c r="J956" s="260"/>
      <c r="K956" s="260" t="s">
        <v>575</v>
      </c>
      <c r="L956" s="260"/>
      <c r="M956" s="261"/>
    </row>
    <row r="958" spans="2:13" ht="23.25" customHeight="1" x14ac:dyDescent="0.35">
      <c r="B958" s="171" t="s">
        <v>334</v>
      </c>
      <c r="C958" s="338" t="s">
        <v>154</v>
      </c>
      <c r="D958" s="338"/>
      <c r="E958" s="338"/>
      <c r="F958" s="338"/>
      <c r="G958" s="338"/>
      <c r="H958" s="338"/>
      <c r="I958" s="338"/>
      <c r="J958" s="338"/>
    </row>
    <row r="959" spans="2:13" ht="18" customHeight="1" x14ac:dyDescent="0.25">
      <c r="B959" s="172" t="s">
        <v>335</v>
      </c>
      <c r="C959" s="192" t="s">
        <v>4284</v>
      </c>
      <c r="D959" s="339" t="s">
        <v>427</v>
      </c>
      <c r="E959" s="339"/>
      <c r="F959" s="169" t="s">
        <v>3173</v>
      </c>
      <c r="L959" s="172" t="s">
        <v>339</v>
      </c>
      <c r="M959" s="173" t="s">
        <v>153</v>
      </c>
    </row>
    <row r="961" spans="2:13" x14ac:dyDescent="0.25">
      <c r="B961" s="174" t="s">
        <v>341</v>
      </c>
      <c r="C961" s="328" t="s">
        <v>3774</v>
      </c>
      <c r="D961" s="328"/>
      <c r="E961" s="328" t="s">
        <v>5106</v>
      </c>
      <c r="F961" s="328"/>
      <c r="G961" s="328" t="s">
        <v>954</v>
      </c>
      <c r="H961" s="328"/>
      <c r="I961" s="339" t="s">
        <v>345</v>
      </c>
      <c r="J961" s="339"/>
      <c r="K961" s="339"/>
      <c r="L961" s="339"/>
      <c r="M961" s="339"/>
    </row>
    <row r="962" spans="2:13" x14ac:dyDescent="0.25">
      <c r="C962" s="251"/>
      <c r="D962" s="251"/>
      <c r="E962" s="251"/>
      <c r="F962" s="251"/>
      <c r="G962" s="251"/>
      <c r="H962" s="251"/>
      <c r="I962" s="175"/>
      <c r="J962" s="175"/>
      <c r="K962" s="175"/>
      <c r="L962" s="175"/>
      <c r="M962" s="175"/>
    </row>
    <row r="963" spans="2:13" x14ac:dyDescent="0.25">
      <c r="B963" s="176" t="s">
        <v>5148</v>
      </c>
      <c r="C963" s="340" t="s">
        <v>1661</v>
      </c>
      <c r="D963" s="340" t="s">
        <v>744</v>
      </c>
      <c r="E963" s="337" t="s">
        <v>5149</v>
      </c>
      <c r="F963" s="337" t="s">
        <v>508</v>
      </c>
      <c r="G963" s="337" t="s">
        <v>1546</v>
      </c>
      <c r="H963" s="337" t="s">
        <v>390</v>
      </c>
      <c r="I963" s="177"/>
      <c r="J963" s="175"/>
      <c r="K963" s="175"/>
      <c r="L963" s="175"/>
      <c r="M963" s="175"/>
    </row>
    <row r="964" spans="2:13" x14ac:dyDescent="0.25">
      <c r="B964" s="176" t="s">
        <v>1469</v>
      </c>
      <c r="C964" s="209"/>
      <c r="D964" s="209"/>
      <c r="E964" s="337"/>
      <c r="F964" s="337"/>
      <c r="G964" s="337"/>
      <c r="H964" s="337"/>
      <c r="I964" s="177"/>
      <c r="J964" s="175"/>
      <c r="K964" s="175"/>
      <c r="L964" s="175"/>
      <c r="M964" s="175"/>
    </row>
    <row r="965" spans="2:13" x14ac:dyDescent="0.25">
      <c r="B965" s="169" t="s">
        <v>5150</v>
      </c>
      <c r="C965" s="341" t="s">
        <v>1661</v>
      </c>
      <c r="D965" s="341" t="s">
        <v>390</v>
      </c>
      <c r="E965" s="342" t="s">
        <v>5149</v>
      </c>
      <c r="F965" s="342" t="s">
        <v>392</v>
      </c>
      <c r="G965" s="342" t="s">
        <v>1546</v>
      </c>
      <c r="H965" s="342" t="s">
        <v>789</v>
      </c>
      <c r="I965" s="177"/>
      <c r="J965" s="175"/>
      <c r="K965" s="175"/>
      <c r="L965" s="175"/>
      <c r="M965" s="175"/>
    </row>
    <row r="966" spans="2:13" x14ac:dyDescent="0.25">
      <c r="B966" s="169" t="s">
        <v>1598</v>
      </c>
      <c r="C966" s="211"/>
      <c r="D966" s="211"/>
      <c r="E966" s="342"/>
      <c r="F966" s="342"/>
      <c r="G966" s="342"/>
      <c r="H966" s="342"/>
      <c r="I966" s="177"/>
      <c r="J966" s="175"/>
      <c r="K966" s="175"/>
      <c r="L966" s="175"/>
      <c r="M966" s="175"/>
    </row>
    <row r="967" spans="2:13" x14ac:dyDescent="0.25">
      <c r="B967" s="176" t="s">
        <v>5151</v>
      </c>
      <c r="C967" s="340" t="s">
        <v>3212</v>
      </c>
      <c r="D967" s="340" t="s">
        <v>744</v>
      </c>
      <c r="E967" s="337" t="s">
        <v>851</v>
      </c>
      <c r="F967" s="337" t="s">
        <v>508</v>
      </c>
      <c r="G967" s="337" t="s">
        <v>1596</v>
      </c>
      <c r="H967" s="337" t="s">
        <v>390</v>
      </c>
      <c r="I967" s="177"/>
      <c r="J967" s="175"/>
      <c r="K967" s="178"/>
      <c r="L967" s="175"/>
      <c r="M967" s="175"/>
    </row>
    <row r="968" spans="2:13" x14ac:dyDescent="0.25">
      <c r="B968" s="176" t="s">
        <v>1598</v>
      </c>
      <c r="C968" s="208"/>
      <c r="D968" s="208"/>
      <c r="E968" s="337"/>
      <c r="F968" s="337"/>
      <c r="G968" s="337"/>
      <c r="H968" s="337"/>
      <c r="I968" s="177"/>
      <c r="J968" s="175"/>
      <c r="K968" s="178"/>
      <c r="L968" s="175"/>
      <c r="M968" s="175"/>
    </row>
    <row r="969" spans="2:13" x14ac:dyDescent="0.25">
      <c r="B969" s="169" t="s">
        <v>2326</v>
      </c>
      <c r="C969" s="341" t="s">
        <v>390</v>
      </c>
      <c r="D969" s="341" t="s">
        <v>4356</v>
      </c>
      <c r="E969" s="342" t="s">
        <v>374</v>
      </c>
      <c r="F969" s="342" t="s">
        <v>854</v>
      </c>
      <c r="G969" s="342" t="s">
        <v>383</v>
      </c>
      <c r="H969" s="342" t="s">
        <v>1443</v>
      </c>
      <c r="I969" s="177"/>
      <c r="J969" s="175"/>
      <c r="K969" s="178"/>
      <c r="L969" s="175"/>
      <c r="M969" s="175"/>
    </row>
    <row r="970" spans="2:13" x14ac:dyDescent="0.25">
      <c r="B970" s="169" t="s">
        <v>1469</v>
      </c>
      <c r="C970" s="211"/>
      <c r="D970" s="211"/>
      <c r="E970" s="342"/>
      <c r="F970" s="342"/>
      <c r="G970" s="342"/>
      <c r="H970" s="342"/>
      <c r="J970" s="175"/>
      <c r="K970" s="178"/>
      <c r="L970" s="175"/>
      <c r="M970" s="175"/>
    </row>
    <row r="971" spans="2:13" x14ac:dyDescent="0.25">
      <c r="B971" s="176" t="s">
        <v>1229</v>
      </c>
      <c r="C971" s="340" t="s">
        <v>5152</v>
      </c>
      <c r="D971" s="340" t="s">
        <v>744</v>
      </c>
      <c r="E971" s="337" t="s">
        <v>5153</v>
      </c>
      <c r="F971" s="337" t="s">
        <v>508</v>
      </c>
      <c r="G971" s="337" t="s">
        <v>5154</v>
      </c>
      <c r="H971" s="337" t="s">
        <v>390</v>
      </c>
      <c r="I971" s="177" t="s">
        <v>5155</v>
      </c>
      <c r="K971" s="178"/>
      <c r="L971" s="175"/>
      <c r="M971" s="175"/>
    </row>
    <row r="972" spans="2:13" x14ac:dyDescent="0.25">
      <c r="B972" s="176"/>
      <c r="C972" s="208"/>
      <c r="D972" s="208"/>
      <c r="E972" s="337"/>
      <c r="F972" s="337"/>
      <c r="G972" s="337"/>
      <c r="H972" s="337"/>
      <c r="I972" s="177" t="s">
        <v>1469</v>
      </c>
      <c r="J972" s="175"/>
      <c r="K972" s="178"/>
      <c r="L972" s="175"/>
      <c r="M972" s="175"/>
    </row>
    <row r="973" spans="2:13" x14ac:dyDescent="0.25">
      <c r="B973" s="169" t="s">
        <v>5135</v>
      </c>
      <c r="C973" s="341" t="s">
        <v>486</v>
      </c>
      <c r="D973" s="341" t="s">
        <v>4356</v>
      </c>
      <c r="E973" s="342" t="s">
        <v>5038</v>
      </c>
      <c r="F973" s="342" t="s">
        <v>854</v>
      </c>
      <c r="G973" s="342" t="s">
        <v>5156</v>
      </c>
      <c r="H973" s="342" t="s">
        <v>1443</v>
      </c>
      <c r="I973" s="177"/>
      <c r="J973" s="177"/>
      <c r="K973" s="178"/>
      <c r="L973" s="175"/>
      <c r="M973" s="175"/>
    </row>
    <row r="974" spans="2:13" x14ac:dyDescent="0.25">
      <c r="B974" s="169"/>
      <c r="C974" s="210"/>
      <c r="D974" s="210"/>
      <c r="E974" s="342"/>
      <c r="F974" s="342"/>
      <c r="G974" s="342"/>
      <c r="H974" s="342"/>
      <c r="I974" s="177"/>
      <c r="J974" s="177"/>
      <c r="K974" s="178"/>
      <c r="L974" s="175"/>
      <c r="M974" s="175"/>
    </row>
    <row r="975" spans="2:13" x14ac:dyDescent="0.25">
      <c r="B975" s="176" t="s">
        <v>2244</v>
      </c>
      <c r="C975" s="340" t="s">
        <v>390</v>
      </c>
      <c r="D975" s="340" t="s">
        <v>657</v>
      </c>
      <c r="E975" s="337" t="s">
        <v>374</v>
      </c>
      <c r="F975" s="337" t="s">
        <v>486</v>
      </c>
      <c r="G975" s="337" t="s">
        <v>383</v>
      </c>
      <c r="H975" s="337" t="s">
        <v>4369</v>
      </c>
      <c r="I975" s="177"/>
      <c r="K975" s="178"/>
      <c r="L975" s="175"/>
      <c r="M975" s="175"/>
    </row>
    <row r="976" spans="2:13" x14ac:dyDescent="0.25">
      <c r="B976" s="176"/>
      <c r="C976" s="209"/>
      <c r="D976" s="209"/>
      <c r="E976" s="337"/>
      <c r="F976" s="337"/>
      <c r="G976" s="337"/>
      <c r="H976" s="337"/>
      <c r="I976" s="177"/>
    </row>
    <row r="977" spans="2:13" x14ac:dyDescent="0.25">
      <c r="B977" s="343" t="s">
        <v>401</v>
      </c>
      <c r="C977" s="344"/>
      <c r="D977" s="344"/>
      <c r="E977" s="344"/>
      <c r="F977" s="344"/>
      <c r="G977" s="344"/>
      <c r="H977" s="344"/>
      <c r="I977" s="344"/>
      <c r="J977" s="344"/>
      <c r="K977" s="344"/>
      <c r="L977" s="344"/>
      <c r="M977" s="345"/>
    </row>
    <row r="978" spans="2:13" x14ac:dyDescent="0.25">
      <c r="B978" s="179" t="s">
        <v>402</v>
      </c>
      <c r="C978" s="346" t="s">
        <v>403</v>
      </c>
      <c r="D978" s="346"/>
      <c r="E978" s="346" t="s">
        <v>407</v>
      </c>
      <c r="F978" s="346"/>
      <c r="G978" s="346" t="s">
        <v>3730</v>
      </c>
      <c r="H978" s="346"/>
      <c r="I978" s="347" t="s">
        <v>404</v>
      </c>
      <c r="J978" s="347"/>
      <c r="K978" s="348" t="s">
        <v>1241</v>
      </c>
      <c r="L978" s="349"/>
      <c r="M978" s="350"/>
    </row>
    <row r="979" spans="2:13" x14ac:dyDescent="0.25">
      <c r="B979" s="180"/>
      <c r="C979" s="351"/>
      <c r="D979" s="352"/>
      <c r="E979" s="353">
        <v>0.25900000000000001</v>
      </c>
      <c r="F979" s="352"/>
      <c r="G979" s="354"/>
      <c r="H979" s="354"/>
      <c r="I979" s="241">
        <v>0.25600000000000001</v>
      </c>
      <c r="J979" s="241"/>
      <c r="K979" s="242">
        <v>0.54200000000000004</v>
      </c>
      <c r="L979" s="243"/>
      <c r="M979" s="244"/>
    </row>
    <row r="980" spans="2:13" x14ac:dyDescent="0.25">
      <c r="B980" s="169"/>
      <c r="C980" s="169"/>
      <c r="D980" s="169"/>
      <c r="E980" s="169"/>
      <c r="F980" s="169"/>
      <c r="G980" s="169"/>
      <c r="H980" s="169"/>
    </row>
    <row r="981" spans="2:13" x14ac:dyDescent="0.25">
      <c r="B981" s="343" t="s">
        <v>408</v>
      </c>
      <c r="C981" s="344"/>
      <c r="D981" s="344"/>
      <c r="E981" s="344"/>
      <c r="F981" s="344"/>
      <c r="G981" s="344"/>
      <c r="H981" s="344"/>
      <c r="I981" s="344"/>
      <c r="J981" s="344"/>
      <c r="K981" s="344"/>
      <c r="L981" s="344"/>
      <c r="M981" s="345"/>
    </row>
    <row r="982" spans="2:13" x14ac:dyDescent="0.25">
      <c r="B982" s="181" t="s">
        <v>5157</v>
      </c>
      <c r="C982" s="355" t="s">
        <v>5158</v>
      </c>
      <c r="D982" s="355"/>
      <c r="E982" s="356" t="s">
        <v>5159</v>
      </c>
      <c r="F982" s="356"/>
      <c r="G982" s="357" t="s">
        <v>692</v>
      </c>
      <c r="H982" s="357"/>
      <c r="I982" s="357" t="s">
        <v>5160</v>
      </c>
      <c r="J982" s="357"/>
      <c r="K982" s="355" t="s">
        <v>5161</v>
      </c>
      <c r="L982" s="355"/>
      <c r="M982" s="358"/>
    </row>
    <row r="983" spans="2:13" x14ac:dyDescent="0.25">
      <c r="B983" s="182" t="s">
        <v>5162</v>
      </c>
      <c r="C983" s="359" t="s">
        <v>5163</v>
      </c>
      <c r="D983" s="360"/>
      <c r="E983" s="361" t="s">
        <v>5164</v>
      </c>
      <c r="F983" s="361"/>
      <c r="G983" s="362" t="s">
        <v>5165</v>
      </c>
      <c r="H983" s="362"/>
      <c r="I983" s="361" t="s">
        <v>5166</v>
      </c>
      <c r="J983" s="361"/>
      <c r="K983" s="362" t="s">
        <v>5167</v>
      </c>
      <c r="L983" s="362"/>
      <c r="M983" s="363"/>
    </row>
    <row r="984" spans="2:13" x14ac:dyDescent="0.25">
      <c r="B984" s="183" t="s">
        <v>5168</v>
      </c>
      <c r="C984" s="364" t="s">
        <v>422</v>
      </c>
      <c r="D984" s="365"/>
      <c r="E984" s="366" t="s">
        <v>5169</v>
      </c>
      <c r="F984" s="366"/>
      <c r="G984" s="367" t="s">
        <v>5170</v>
      </c>
      <c r="H984" s="367"/>
      <c r="I984" s="367" t="s">
        <v>5171</v>
      </c>
      <c r="J984" s="367"/>
      <c r="K984" s="367" t="s">
        <v>5172</v>
      </c>
      <c r="L984" s="367"/>
      <c r="M984" s="368"/>
    </row>
  </sheetData>
  <mergeCells count="2186">
    <mergeCell ref="C979:D979"/>
    <mergeCell ref="E979:F979"/>
    <mergeCell ref="G979:H979"/>
    <mergeCell ref="I979:J979"/>
    <mergeCell ref="K979:M979"/>
    <mergeCell ref="B981:M981"/>
    <mergeCell ref="C982:D982"/>
    <mergeCell ref="E982:F982"/>
    <mergeCell ref="G982:H982"/>
    <mergeCell ref="I982:J982"/>
    <mergeCell ref="K982:M982"/>
    <mergeCell ref="C983:D983"/>
    <mergeCell ref="E983:F983"/>
    <mergeCell ref="G983:H983"/>
    <mergeCell ref="I983:J983"/>
    <mergeCell ref="K983:M983"/>
    <mergeCell ref="C984:D984"/>
    <mergeCell ref="E984:F984"/>
    <mergeCell ref="G984:H984"/>
    <mergeCell ref="I984:J984"/>
    <mergeCell ref="K984:M984"/>
    <mergeCell ref="B977:M977"/>
    <mergeCell ref="C978:D978"/>
    <mergeCell ref="E978:F978"/>
    <mergeCell ref="G978:H978"/>
    <mergeCell ref="I978:J978"/>
    <mergeCell ref="K978:M978"/>
    <mergeCell ref="C973:D973"/>
    <mergeCell ref="E973:F973"/>
    <mergeCell ref="G973:H973"/>
    <mergeCell ref="E974:F974"/>
    <mergeCell ref="G974:H974"/>
    <mergeCell ref="C975:D975"/>
    <mergeCell ref="E975:F975"/>
    <mergeCell ref="G975:H975"/>
    <mergeCell ref="E976:F976"/>
    <mergeCell ref="G976:H976"/>
    <mergeCell ref="E966:F966"/>
    <mergeCell ref="G966:H966"/>
    <mergeCell ref="C967:D967"/>
    <mergeCell ref="E967:F967"/>
    <mergeCell ref="G967:H967"/>
    <mergeCell ref="E968:F968"/>
    <mergeCell ref="G968:H968"/>
    <mergeCell ref="C969:D969"/>
    <mergeCell ref="E969:F969"/>
    <mergeCell ref="G969:H969"/>
    <mergeCell ref="E970:F970"/>
    <mergeCell ref="G970:H970"/>
    <mergeCell ref="C971:D971"/>
    <mergeCell ref="E971:F971"/>
    <mergeCell ref="G971:H971"/>
    <mergeCell ref="E972:F972"/>
    <mergeCell ref="G972:H972"/>
    <mergeCell ref="C958:J958"/>
    <mergeCell ref="D959:E959"/>
    <mergeCell ref="C961:D961"/>
    <mergeCell ref="E961:F961"/>
    <mergeCell ref="G961:H961"/>
    <mergeCell ref="I961:M961"/>
    <mergeCell ref="C962:D962"/>
    <mergeCell ref="E962:F962"/>
    <mergeCell ref="G962:H962"/>
    <mergeCell ref="C963:D963"/>
    <mergeCell ref="E963:F963"/>
    <mergeCell ref="G963:H963"/>
    <mergeCell ref="E964:F964"/>
    <mergeCell ref="G964:H964"/>
    <mergeCell ref="C965:D965"/>
    <mergeCell ref="E965:F965"/>
    <mergeCell ref="G965:H965"/>
    <mergeCell ref="C951:D951"/>
    <mergeCell ref="E951:F951"/>
    <mergeCell ref="G951:H951"/>
    <mergeCell ref="I951:J951"/>
    <mergeCell ref="K951:M951"/>
    <mergeCell ref="B953:M953"/>
    <mergeCell ref="C954:D954"/>
    <mergeCell ref="E954:F954"/>
    <mergeCell ref="G954:H954"/>
    <mergeCell ref="I954:J954"/>
    <mergeCell ref="K954:M954"/>
    <mergeCell ref="C955:D955"/>
    <mergeCell ref="E955:F955"/>
    <mergeCell ref="G955:H955"/>
    <mergeCell ref="I955:J955"/>
    <mergeCell ref="K955:M955"/>
    <mergeCell ref="C956:D956"/>
    <mergeCell ref="E956:F956"/>
    <mergeCell ref="G956:H956"/>
    <mergeCell ref="I956:J956"/>
    <mergeCell ref="K956:M956"/>
    <mergeCell ref="B949:M949"/>
    <mergeCell ref="C950:D950"/>
    <mergeCell ref="E950:F950"/>
    <mergeCell ref="G950:H950"/>
    <mergeCell ref="I950:J950"/>
    <mergeCell ref="K950:M950"/>
    <mergeCell ref="C939:D939"/>
    <mergeCell ref="E939:F939"/>
    <mergeCell ref="G939:H939"/>
    <mergeCell ref="E940:F940"/>
    <mergeCell ref="G940:H940"/>
    <mergeCell ref="C941:D941"/>
    <mergeCell ref="E941:F941"/>
    <mergeCell ref="G941:H941"/>
    <mergeCell ref="E942:F942"/>
    <mergeCell ref="G942:H942"/>
    <mergeCell ref="C943:D943"/>
    <mergeCell ref="E943:F943"/>
    <mergeCell ref="G943:H943"/>
    <mergeCell ref="C947:D947"/>
    <mergeCell ref="E947:F947"/>
    <mergeCell ref="G947:H947"/>
    <mergeCell ref="E948:F948"/>
    <mergeCell ref="G948:H948"/>
    <mergeCell ref="C945:D945"/>
    <mergeCell ref="E945:F945"/>
    <mergeCell ref="G945:H945"/>
    <mergeCell ref="E946:F946"/>
    <mergeCell ref="G946:H946"/>
    <mergeCell ref="E932:F932"/>
    <mergeCell ref="G932:H932"/>
    <mergeCell ref="C933:D933"/>
    <mergeCell ref="E933:F933"/>
    <mergeCell ref="G933:H933"/>
    <mergeCell ref="E934:F934"/>
    <mergeCell ref="G934:H934"/>
    <mergeCell ref="C935:D935"/>
    <mergeCell ref="E935:F935"/>
    <mergeCell ref="G935:H935"/>
    <mergeCell ref="E936:F936"/>
    <mergeCell ref="G936:H936"/>
    <mergeCell ref="C937:D937"/>
    <mergeCell ref="E937:F937"/>
    <mergeCell ref="G937:H937"/>
    <mergeCell ref="E938:F938"/>
    <mergeCell ref="G938:H938"/>
    <mergeCell ref="C924:J924"/>
    <mergeCell ref="D925:E925"/>
    <mergeCell ref="C927:D927"/>
    <mergeCell ref="E927:F927"/>
    <mergeCell ref="G927:H927"/>
    <mergeCell ref="I927:M927"/>
    <mergeCell ref="C928:D928"/>
    <mergeCell ref="E928:F928"/>
    <mergeCell ref="G928:H928"/>
    <mergeCell ref="C929:D929"/>
    <mergeCell ref="E929:F929"/>
    <mergeCell ref="G929:H929"/>
    <mergeCell ref="E930:F930"/>
    <mergeCell ref="G930:H930"/>
    <mergeCell ref="C931:D931"/>
    <mergeCell ref="E931:F931"/>
    <mergeCell ref="G931:H931"/>
    <mergeCell ref="C921:D921"/>
    <mergeCell ref="E921:F921"/>
    <mergeCell ref="G921:H921"/>
    <mergeCell ref="I921:J921"/>
    <mergeCell ref="K921:M921"/>
    <mergeCell ref="C922:D922"/>
    <mergeCell ref="E922:F922"/>
    <mergeCell ref="G922:H922"/>
    <mergeCell ref="I922:J922"/>
    <mergeCell ref="K922:M922"/>
    <mergeCell ref="C907:D907"/>
    <mergeCell ref="E907:F907"/>
    <mergeCell ref="G907:H907"/>
    <mergeCell ref="E908:F908"/>
    <mergeCell ref="G908:H908"/>
    <mergeCell ref="C909:D909"/>
    <mergeCell ref="E909:F909"/>
    <mergeCell ref="G909:H909"/>
    <mergeCell ref="C913:D913"/>
    <mergeCell ref="E913:F913"/>
    <mergeCell ref="G913:H913"/>
    <mergeCell ref="B915:M915"/>
    <mergeCell ref="C916:D916"/>
    <mergeCell ref="E916:F916"/>
    <mergeCell ref="G916:H916"/>
    <mergeCell ref="I916:J916"/>
    <mergeCell ref="K916:M916"/>
    <mergeCell ref="C917:D917"/>
    <mergeCell ref="E917:F917"/>
    <mergeCell ref="G917:H917"/>
    <mergeCell ref="I917:J917"/>
    <mergeCell ref="K917:M917"/>
    <mergeCell ref="B919:M919"/>
    <mergeCell ref="C920:D920"/>
    <mergeCell ref="E920:F920"/>
    <mergeCell ref="G920:H920"/>
    <mergeCell ref="I920:J920"/>
    <mergeCell ref="K920:M920"/>
    <mergeCell ref="C901:D901"/>
    <mergeCell ref="E901:F901"/>
    <mergeCell ref="G901:H901"/>
    <mergeCell ref="E902:F902"/>
    <mergeCell ref="G902:H902"/>
    <mergeCell ref="C903:D903"/>
    <mergeCell ref="E903:F903"/>
    <mergeCell ref="G903:H903"/>
    <mergeCell ref="E904:F904"/>
    <mergeCell ref="G904:H904"/>
    <mergeCell ref="C905:D905"/>
    <mergeCell ref="E905:F905"/>
    <mergeCell ref="G905:H905"/>
    <mergeCell ref="C911:D911"/>
    <mergeCell ref="E911:F911"/>
    <mergeCell ref="G911:H911"/>
    <mergeCell ref="E912:F912"/>
    <mergeCell ref="G912:H912"/>
    <mergeCell ref="E894:F894"/>
    <mergeCell ref="G894:H894"/>
    <mergeCell ref="C895:D895"/>
    <mergeCell ref="E895:F895"/>
    <mergeCell ref="G895:H895"/>
    <mergeCell ref="E896:F896"/>
    <mergeCell ref="G896:H896"/>
    <mergeCell ref="C897:D897"/>
    <mergeCell ref="E897:F897"/>
    <mergeCell ref="G897:H897"/>
    <mergeCell ref="E898:F898"/>
    <mergeCell ref="G898:H898"/>
    <mergeCell ref="C899:D899"/>
    <mergeCell ref="E899:F899"/>
    <mergeCell ref="G899:H899"/>
    <mergeCell ref="E900:F900"/>
    <mergeCell ref="G900:H900"/>
    <mergeCell ref="C886:J886"/>
    <mergeCell ref="D887:E887"/>
    <mergeCell ref="C889:D889"/>
    <mergeCell ref="E889:F889"/>
    <mergeCell ref="G889:H889"/>
    <mergeCell ref="I889:M889"/>
    <mergeCell ref="C890:D890"/>
    <mergeCell ref="E890:F890"/>
    <mergeCell ref="G890:H890"/>
    <mergeCell ref="C891:D891"/>
    <mergeCell ref="E891:F891"/>
    <mergeCell ref="G891:H891"/>
    <mergeCell ref="E892:F892"/>
    <mergeCell ref="G892:H892"/>
    <mergeCell ref="C893:D893"/>
    <mergeCell ref="E893:F893"/>
    <mergeCell ref="G893:H893"/>
    <mergeCell ref="C883:D883"/>
    <mergeCell ref="E883:F883"/>
    <mergeCell ref="G883:H883"/>
    <mergeCell ref="I883:J883"/>
    <mergeCell ref="K883:M883"/>
    <mergeCell ref="C884:D884"/>
    <mergeCell ref="E884:F884"/>
    <mergeCell ref="G884:H884"/>
    <mergeCell ref="I884:J884"/>
    <mergeCell ref="K884:M884"/>
    <mergeCell ref="B877:M877"/>
    <mergeCell ref="C878:D878"/>
    <mergeCell ref="E878:F878"/>
    <mergeCell ref="G878:H878"/>
    <mergeCell ref="I878:J878"/>
    <mergeCell ref="K878:M878"/>
    <mergeCell ref="C879:D879"/>
    <mergeCell ref="E879:F879"/>
    <mergeCell ref="G879:H879"/>
    <mergeCell ref="I879:J879"/>
    <mergeCell ref="K879:M879"/>
    <mergeCell ref="B881:M881"/>
    <mergeCell ref="C882:D882"/>
    <mergeCell ref="E882:F882"/>
    <mergeCell ref="G882:H882"/>
    <mergeCell ref="I882:J882"/>
    <mergeCell ref="K882:M882"/>
    <mergeCell ref="E872:F872"/>
    <mergeCell ref="G872:H872"/>
    <mergeCell ref="C873:D873"/>
    <mergeCell ref="E873:F873"/>
    <mergeCell ref="G873:H873"/>
    <mergeCell ref="E874:F874"/>
    <mergeCell ref="G874:H874"/>
    <mergeCell ref="C875:D875"/>
    <mergeCell ref="E875:F875"/>
    <mergeCell ref="G875:H875"/>
    <mergeCell ref="E876:F876"/>
    <mergeCell ref="G876:H876"/>
    <mergeCell ref="C864:J864"/>
    <mergeCell ref="D865:E865"/>
    <mergeCell ref="C867:D867"/>
    <mergeCell ref="E867:F867"/>
    <mergeCell ref="G867:H867"/>
    <mergeCell ref="I867:M867"/>
    <mergeCell ref="C868:D868"/>
    <mergeCell ref="E868:F868"/>
    <mergeCell ref="G868:H868"/>
    <mergeCell ref="C869:D869"/>
    <mergeCell ref="E869:F869"/>
    <mergeCell ref="G869:H869"/>
    <mergeCell ref="E870:F870"/>
    <mergeCell ref="G870:H870"/>
    <mergeCell ref="C871:D871"/>
    <mergeCell ref="E871:F871"/>
    <mergeCell ref="G871:H871"/>
    <mergeCell ref="C823:D823"/>
    <mergeCell ref="E823:F823"/>
    <mergeCell ref="G823:H823"/>
    <mergeCell ref="I823:J823"/>
    <mergeCell ref="K823:M823"/>
    <mergeCell ref="B825:M825"/>
    <mergeCell ref="C826:D826"/>
    <mergeCell ref="E826:F826"/>
    <mergeCell ref="G826:H826"/>
    <mergeCell ref="I826:J826"/>
    <mergeCell ref="K826:M826"/>
    <mergeCell ref="C827:D827"/>
    <mergeCell ref="E827:F827"/>
    <mergeCell ref="G827:H827"/>
    <mergeCell ref="I827:J827"/>
    <mergeCell ref="K827:M827"/>
    <mergeCell ref="C828:D828"/>
    <mergeCell ref="E828:F828"/>
    <mergeCell ref="G828:H828"/>
    <mergeCell ref="I828:J828"/>
    <mergeCell ref="K828:M828"/>
    <mergeCell ref="C804:J804"/>
    <mergeCell ref="D805:E805"/>
    <mergeCell ref="C807:D807"/>
    <mergeCell ref="E807:M807"/>
    <mergeCell ref="C808:D808"/>
    <mergeCell ref="C809:D809"/>
    <mergeCell ref="C811:D811"/>
    <mergeCell ref="C812:D812"/>
    <mergeCell ref="C813:D813"/>
    <mergeCell ref="C815:D815"/>
    <mergeCell ref="C817:D817"/>
    <mergeCell ref="C819:D819"/>
    <mergeCell ref="B821:M821"/>
    <mergeCell ref="C822:D822"/>
    <mergeCell ref="E822:F822"/>
    <mergeCell ref="G822:H822"/>
    <mergeCell ref="I822:J822"/>
    <mergeCell ref="K822:M822"/>
    <mergeCell ref="C489:D489"/>
    <mergeCell ref="E489:F489"/>
    <mergeCell ref="G489:H489"/>
    <mergeCell ref="I489:J489"/>
    <mergeCell ref="K489:M489"/>
    <mergeCell ref="C148:D148"/>
    <mergeCell ref="E148:F148"/>
    <mergeCell ref="G148:H148"/>
    <mergeCell ref="I148:J148"/>
    <mergeCell ref="K148:M148"/>
    <mergeCell ref="C93:D93"/>
    <mergeCell ref="E93:F93"/>
    <mergeCell ref="G93:H93"/>
    <mergeCell ref="I93:J93"/>
    <mergeCell ref="K93:M93"/>
    <mergeCell ref="C177:D177"/>
    <mergeCell ref="E177:F177"/>
    <mergeCell ref="G177:H177"/>
    <mergeCell ref="I177:J177"/>
    <mergeCell ref="K177:M177"/>
    <mergeCell ref="C276:D276"/>
    <mergeCell ref="E276:F276"/>
    <mergeCell ref="G276:H276"/>
    <mergeCell ref="I276:J276"/>
    <mergeCell ref="K276:M276"/>
    <mergeCell ref="C269:D269"/>
    <mergeCell ref="C217:D217"/>
    <mergeCell ref="E217:F217"/>
    <mergeCell ref="G217:H217"/>
    <mergeCell ref="I217:J217"/>
    <mergeCell ref="K217:M217"/>
    <mergeCell ref="G488:H488"/>
    <mergeCell ref="B749:M749"/>
    <mergeCell ref="C750:D750"/>
    <mergeCell ref="E750:F750"/>
    <mergeCell ref="G750:H750"/>
    <mergeCell ref="I750:J750"/>
    <mergeCell ref="K750:M750"/>
    <mergeCell ref="C751:D751"/>
    <mergeCell ref="E751:F751"/>
    <mergeCell ref="G751:H751"/>
    <mergeCell ref="I751:J751"/>
    <mergeCell ref="K751:M751"/>
    <mergeCell ref="B745:M745"/>
    <mergeCell ref="C746:D746"/>
    <mergeCell ref="E746:F746"/>
    <mergeCell ref="G746:H746"/>
    <mergeCell ref="I746:J746"/>
    <mergeCell ref="K746:M746"/>
    <mergeCell ref="C747:D747"/>
    <mergeCell ref="E747:F747"/>
    <mergeCell ref="G747:H747"/>
    <mergeCell ref="I747:J747"/>
    <mergeCell ref="K747:M747"/>
    <mergeCell ref="E744:F744"/>
    <mergeCell ref="G744:H744"/>
    <mergeCell ref="C739:D739"/>
    <mergeCell ref="E739:F739"/>
    <mergeCell ref="G739:H739"/>
    <mergeCell ref="E740:F740"/>
    <mergeCell ref="G740:H740"/>
    <mergeCell ref="C741:D741"/>
    <mergeCell ref="E741:F741"/>
    <mergeCell ref="G741:H741"/>
    <mergeCell ref="C743:D743"/>
    <mergeCell ref="E743:F743"/>
    <mergeCell ref="G743:H743"/>
    <mergeCell ref="C735:D735"/>
    <mergeCell ref="E735:F735"/>
    <mergeCell ref="G735:H735"/>
    <mergeCell ref="E736:F736"/>
    <mergeCell ref="G736:H736"/>
    <mergeCell ref="C737:D737"/>
    <mergeCell ref="E737:F737"/>
    <mergeCell ref="G737:H737"/>
    <mergeCell ref="E738:F738"/>
    <mergeCell ref="G738:H738"/>
    <mergeCell ref="C731:D731"/>
    <mergeCell ref="E731:F731"/>
    <mergeCell ref="G731:H731"/>
    <mergeCell ref="E732:F732"/>
    <mergeCell ref="G732:H732"/>
    <mergeCell ref="C733:D733"/>
    <mergeCell ref="E733:F733"/>
    <mergeCell ref="G733:H733"/>
    <mergeCell ref="E734:F734"/>
    <mergeCell ref="G734:H734"/>
    <mergeCell ref="C727:D727"/>
    <mergeCell ref="E727:F727"/>
    <mergeCell ref="G727:H727"/>
    <mergeCell ref="E728:F728"/>
    <mergeCell ref="G728:H728"/>
    <mergeCell ref="C729:D729"/>
    <mergeCell ref="E729:F729"/>
    <mergeCell ref="G729:H729"/>
    <mergeCell ref="E730:F730"/>
    <mergeCell ref="G730:H730"/>
    <mergeCell ref="C722:J722"/>
    <mergeCell ref="D723:E723"/>
    <mergeCell ref="C725:D725"/>
    <mergeCell ref="E725:F725"/>
    <mergeCell ref="G725:H725"/>
    <mergeCell ref="I725:M725"/>
    <mergeCell ref="C726:D726"/>
    <mergeCell ref="E726:F726"/>
    <mergeCell ref="G726:H726"/>
    <mergeCell ref="B718:M718"/>
    <mergeCell ref="C719:D719"/>
    <mergeCell ref="E719:F719"/>
    <mergeCell ref="G719:H719"/>
    <mergeCell ref="I719:J719"/>
    <mergeCell ref="K719:M719"/>
    <mergeCell ref="C720:D720"/>
    <mergeCell ref="E720:F720"/>
    <mergeCell ref="G720:H720"/>
    <mergeCell ref="I720:J720"/>
    <mergeCell ref="K720:M720"/>
    <mergeCell ref="B714:M714"/>
    <mergeCell ref="C715:D715"/>
    <mergeCell ref="E715:F715"/>
    <mergeCell ref="G715:H715"/>
    <mergeCell ref="I715:J715"/>
    <mergeCell ref="K715:M715"/>
    <mergeCell ref="C716:D716"/>
    <mergeCell ref="E716:F716"/>
    <mergeCell ref="G716:H716"/>
    <mergeCell ref="I716:J716"/>
    <mergeCell ref="K716:M716"/>
    <mergeCell ref="E713:F713"/>
    <mergeCell ref="G713:H713"/>
    <mergeCell ref="C708:D708"/>
    <mergeCell ref="E708:F708"/>
    <mergeCell ref="G708:H708"/>
    <mergeCell ref="E709:F709"/>
    <mergeCell ref="G709:H709"/>
    <mergeCell ref="C710:D710"/>
    <mergeCell ref="E710:F710"/>
    <mergeCell ref="G710:H710"/>
    <mergeCell ref="C712:D712"/>
    <mergeCell ref="E712:F712"/>
    <mergeCell ref="G712:H712"/>
    <mergeCell ref="E703:F703"/>
    <mergeCell ref="G703:H703"/>
    <mergeCell ref="C704:D704"/>
    <mergeCell ref="E704:F704"/>
    <mergeCell ref="G704:H704"/>
    <mergeCell ref="E705:F705"/>
    <mergeCell ref="G705:H705"/>
    <mergeCell ref="C706:D706"/>
    <mergeCell ref="E706:F706"/>
    <mergeCell ref="G706:H706"/>
    <mergeCell ref="E699:F699"/>
    <mergeCell ref="G699:H699"/>
    <mergeCell ref="C700:D700"/>
    <mergeCell ref="E700:F700"/>
    <mergeCell ref="G700:H700"/>
    <mergeCell ref="E701:F701"/>
    <mergeCell ref="G701:H701"/>
    <mergeCell ref="C702:D702"/>
    <mergeCell ref="E702:F702"/>
    <mergeCell ref="G702:H702"/>
    <mergeCell ref="E695:F695"/>
    <mergeCell ref="G695:H695"/>
    <mergeCell ref="C696:D696"/>
    <mergeCell ref="E696:F696"/>
    <mergeCell ref="G696:H696"/>
    <mergeCell ref="E697:F697"/>
    <mergeCell ref="G697:H697"/>
    <mergeCell ref="C698:D698"/>
    <mergeCell ref="E698:F698"/>
    <mergeCell ref="G698:H698"/>
    <mergeCell ref="C691:D691"/>
    <mergeCell ref="E691:F691"/>
    <mergeCell ref="G691:H691"/>
    <mergeCell ref="C692:D692"/>
    <mergeCell ref="E692:F692"/>
    <mergeCell ref="G692:H692"/>
    <mergeCell ref="E693:F693"/>
    <mergeCell ref="G693:H693"/>
    <mergeCell ref="C694:D694"/>
    <mergeCell ref="E694:F694"/>
    <mergeCell ref="G694:H694"/>
    <mergeCell ref="C685:D685"/>
    <mergeCell ref="E685:F685"/>
    <mergeCell ref="G685:H685"/>
    <mergeCell ref="I685:J685"/>
    <mergeCell ref="K685:M685"/>
    <mergeCell ref="C687:J687"/>
    <mergeCell ref="D688:E688"/>
    <mergeCell ref="C690:D690"/>
    <mergeCell ref="E690:F690"/>
    <mergeCell ref="G690:H690"/>
    <mergeCell ref="I690:M690"/>
    <mergeCell ref="C681:D681"/>
    <mergeCell ref="E681:F681"/>
    <mergeCell ref="G681:H681"/>
    <mergeCell ref="I681:J681"/>
    <mergeCell ref="K681:M681"/>
    <mergeCell ref="B683:M683"/>
    <mergeCell ref="C684:D684"/>
    <mergeCell ref="E684:F684"/>
    <mergeCell ref="G684:H684"/>
    <mergeCell ref="I684:J684"/>
    <mergeCell ref="K684:M684"/>
    <mergeCell ref="B679:M679"/>
    <mergeCell ref="C680:D680"/>
    <mergeCell ref="E680:F680"/>
    <mergeCell ref="G680:H680"/>
    <mergeCell ref="I680:J680"/>
    <mergeCell ref="K680:M680"/>
    <mergeCell ref="C675:D675"/>
    <mergeCell ref="E675:F675"/>
    <mergeCell ref="G675:H675"/>
    <mergeCell ref="E676:F676"/>
    <mergeCell ref="G676:H676"/>
    <mergeCell ref="C677:D677"/>
    <mergeCell ref="E677:F677"/>
    <mergeCell ref="G677:H677"/>
    <mergeCell ref="C671:D671"/>
    <mergeCell ref="E671:F671"/>
    <mergeCell ref="G671:H671"/>
    <mergeCell ref="E672:F672"/>
    <mergeCell ref="G672:H672"/>
    <mergeCell ref="C673:D673"/>
    <mergeCell ref="E673:F673"/>
    <mergeCell ref="G673:H673"/>
    <mergeCell ref="E674:F674"/>
    <mergeCell ref="G674:H674"/>
    <mergeCell ref="C667:D667"/>
    <mergeCell ref="E667:F667"/>
    <mergeCell ref="G667:H667"/>
    <mergeCell ref="E668:F668"/>
    <mergeCell ref="G668:H668"/>
    <mergeCell ref="C669:D669"/>
    <mergeCell ref="E669:F669"/>
    <mergeCell ref="G669:H669"/>
    <mergeCell ref="E670:F670"/>
    <mergeCell ref="G670:H670"/>
    <mergeCell ref="C662:J662"/>
    <mergeCell ref="D663:E663"/>
    <mergeCell ref="C665:D665"/>
    <mergeCell ref="E665:F665"/>
    <mergeCell ref="G665:H665"/>
    <mergeCell ref="I665:M665"/>
    <mergeCell ref="C666:D666"/>
    <mergeCell ref="E666:F666"/>
    <mergeCell ref="G666:H666"/>
    <mergeCell ref="B658:M658"/>
    <mergeCell ref="C659:D659"/>
    <mergeCell ref="E659:F659"/>
    <mergeCell ref="G659:H659"/>
    <mergeCell ref="I659:J659"/>
    <mergeCell ref="K659:M659"/>
    <mergeCell ref="C660:D660"/>
    <mergeCell ref="E660:F660"/>
    <mergeCell ref="G660:H660"/>
    <mergeCell ref="I660:J660"/>
    <mergeCell ref="K660:M660"/>
    <mergeCell ref="C655:D655"/>
    <mergeCell ref="E655:F655"/>
    <mergeCell ref="G655:H655"/>
    <mergeCell ref="I655:J655"/>
    <mergeCell ref="K655:M655"/>
    <mergeCell ref="C656:D656"/>
    <mergeCell ref="E656:F656"/>
    <mergeCell ref="G656:H656"/>
    <mergeCell ref="I656:J656"/>
    <mergeCell ref="K656:M656"/>
    <mergeCell ref="B654:M654"/>
    <mergeCell ref="E651:F651"/>
    <mergeCell ref="G651:H651"/>
    <mergeCell ref="C652:D652"/>
    <mergeCell ref="E652:F652"/>
    <mergeCell ref="G652:H652"/>
    <mergeCell ref="C646:D646"/>
    <mergeCell ref="E646:F646"/>
    <mergeCell ref="G646:H646"/>
    <mergeCell ref="E647:F647"/>
    <mergeCell ref="G647:H647"/>
    <mergeCell ref="C648:D648"/>
    <mergeCell ref="E648:F648"/>
    <mergeCell ref="G648:H648"/>
    <mergeCell ref="C650:D650"/>
    <mergeCell ref="E650:F650"/>
    <mergeCell ref="G650:H650"/>
    <mergeCell ref="C642:D642"/>
    <mergeCell ref="E642:F642"/>
    <mergeCell ref="G642:H642"/>
    <mergeCell ref="E643:F643"/>
    <mergeCell ref="G643:H643"/>
    <mergeCell ref="C644:D644"/>
    <mergeCell ref="E644:F644"/>
    <mergeCell ref="G644:H644"/>
    <mergeCell ref="E645:F645"/>
    <mergeCell ref="G645:H645"/>
    <mergeCell ref="C638:D638"/>
    <mergeCell ref="E638:F638"/>
    <mergeCell ref="G638:H638"/>
    <mergeCell ref="E639:F639"/>
    <mergeCell ref="G639:H639"/>
    <mergeCell ref="C640:D640"/>
    <mergeCell ref="E640:F640"/>
    <mergeCell ref="G640:H640"/>
    <mergeCell ref="E641:F641"/>
    <mergeCell ref="G641:H641"/>
    <mergeCell ref="C634:D634"/>
    <mergeCell ref="E634:F634"/>
    <mergeCell ref="G634:H634"/>
    <mergeCell ref="E635:F635"/>
    <mergeCell ref="G635:H635"/>
    <mergeCell ref="C636:D636"/>
    <mergeCell ref="E636:F636"/>
    <mergeCell ref="G636:H636"/>
    <mergeCell ref="E637:F637"/>
    <mergeCell ref="G637:H637"/>
    <mergeCell ref="C629:J629"/>
    <mergeCell ref="D630:E630"/>
    <mergeCell ref="C632:D632"/>
    <mergeCell ref="E632:F632"/>
    <mergeCell ref="G632:H632"/>
    <mergeCell ref="I632:M632"/>
    <mergeCell ref="C633:D633"/>
    <mergeCell ref="E633:F633"/>
    <mergeCell ref="G633:H633"/>
    <mergeCell ref="B625:M625"/>
    <mergeCell ref="C626:D626"/>
    <mergeCell ref="E626:F626"/>
    <mergeCell ref="G626:H626"/>
    <mergeCell ref="I626:J626"/>
    <mergeCell ref="K626:M626"/>
    <mergeCell ref="C627:D627"/>
    <mergeCell ref="E627:F627"/>
    <mergeCell ref="G627:H627"/>
    <mergeCell ref="I627:J627"/>
    <mergeCell ref="K627:M627"/>
    <mergeCell ref="C622:D622"/>
    <mergeCell ref="E622:F622"/>
    <mergeCell ref="G622:H622"/>
    <mergeCell ref="I622:J622"/>
    <mergeCell ref="K622:M622"/>
    <mergeCell ref="C623:D623"/>
    <mergeCell ref="E623:F623"/>
    <mergeCell ref="G623:H623"/>
    <mergeCell ref="I623:J623"/>
    <mergeCell ref="K623:M623"/>
    <mergeCell ref="C615:D615"/>
    <mergeCell ref="E615:F615"/>
    <mergeCell ref="G615:H615"/>
    <mergeCell ref="G620:H620"/>
    <mergeCell ref="B621:M621"/>
    <mergeCell ref="G608:H608"/>
    <mergeCell ref="C609:D609"/>
    <mergeCell ref="E609:F609"/>
    <mergeCell ref="G609:H609"/>
    <mergeCell ref="C611:D611"/>
    <mergeCell ref="E611:F611"/>
    <mergeCell ref="G611:H611"/>
    <mergeCell ref="G612:H612"/>
    <mergeCell ref="C617:D617"/>
    <mergeCell ref="E617:F617"/>
    <mergeCell ref="G617:H617"/>
    <mergeCell ref="C619:D619"/>
    <mergeCell ref="E619:F619"/>
    <mergeCell ref="G619:H619"/>
    <mergeCell ref="G604:H604"/>
    <mergeCell ref="C605:D605"/>
    <mergeCell ref="E605:F605"/>
    <mergeCell ref="G605:H605"/>
    <mergeCell ref="C607:D607"/>
    <mergeCell ref="E607:F607"/>
    <mergeCell ref="G607:H607"/>
    <mergeCell ref="C599:D599"/>
    <mergeCell ref="E599:F599"/>
    <mergeCell ref="G599:H599"/>
    <mergeCell ref="G600:H600"/>
    <mergeCell ref="C601:D601"/>
    <mergeCell ref="E601:F601"/>
    <mergeCell ref="G601:H601"/>
    <mergeCell ref="G602:H602"/>
    <mergeCell ref="C613:D613"/>
    <mergeCell ref="E613:F613"/>
    <mergeCell ref="G613:H613"/>
    <mergeCell ref="C597:D597"/>
    <mergeCell ref="E597:F597"/>
    <mergeCell ref="G597:H597"/>
    <mergeCell ref="G598:H598"/>
    <mergeCell ref="C591:D591"/>
    <mergeCell ref="E591:F591"/>
    <mergeCell ref="G591:H591"/>
    <mergeCell ref="G592:H592"/>
    <mergeCell ref="C593:D593"/>
    <mergeCell ref="E593:F593"/>
    <mergeCell ref="G593:H593"/>
    <mergeCell ref="G594:H594"/>
    <mergeCell ref="C596:D596"/>
    <mergeCell ref="I584:J584"/>
    <mergeCell ref="K584:M584"/>
    <mergeCell ref="C603:D603"/>
    <mergeCell ref="E603:F603"/>
    <mergeCell ref="G603:H603"/>
    <mergeCell ref="C595:D595"/>
    <mergeCell ref="E595:F595"/>
    <mergeCell ref="G595:H595"/>
    <mergeCell ref="E589:F589"/>
    <mergeCell ref="G589:H589"/>
    <mergeCell ref="C586:J586"/>
    <mergeCell ref="D587:E587"/>
    <mergeCell ref="C589:D589"/>
    <mergeCell ref="I589:M589"/>
    <mergeCell ref="C590:D590"/>
    <mergeCell ref="E590:F590"/>
    <mergeCell ref="G590:H590"/>
    <mergeCell ref="C584:D584"/>
    <mergeCell ref="E584:F584"/>
    <mergeCell ref="G584:H584"/>
    <mergeCell ref="E596:F596"/>
    <mergeCell ref="G596:H596"/>
    <mergeCell ref="C576:D576"/>
    <mergeCell ref="E576:F576"/>
    <mergeCell ref="G576:H576"/>
    <mergeCell ref="E577:F577"/>
    <mergeCell ref="G577:H577"/>
    <mergeCell ref="C572:D572"/>
    <mergeCell ref="E572:F572"/>
    <mergeCell ref="G572:H572"/>
    <mergeCell ref="E573:F573"/>
    <mergeCell ref="G573:H573"/>
    <mergeCell ref="C574:D574"/>
    <mergeCell ref="E574:F574"/>
    <mergeCell ref="G574:H574"/>
    <mergeCell ref="E575:F575"/>
    <mergeCell ref="G575:H575"/>
    <mergeCell ref="B582:M582"/>
    <mergeCell ref="C583:D583"/>
    <mergeCell ref="E583:F583"/>
    <mergeCell ref="G583:H583"/>
    <mergeCell ref="I583:J583"/>
    <mergeCell ref="K583:M583"/>
    <mergeCell ref="C579:D579"/>
    <mergeCell ref="E579:F579"/>
    <mergeCell ref="G579:H579"/>
    <mergeCell ref="I579:J579"/>
    <mergeCell ref="K579:M579"/>
    <mergeCell ref="C580:D580"/>
    <mergeCell ref="E580:F580"/>
    <mergeCell ref="G580:H580"/>
    <mergeCell ref="I580:J580"/>
    <mergeCell ref="K580:M580"/>
    <mergeCell ref="B578:M578"/>
    <mergeCell ref="C568:D568"/>
    <mergeCell ref="E568:F568"/>
    <mergeCell ref="G568:H568"/>
    <mergeCell ref="E569:F569"/>
    <mergeCell ref="G569:H569"/>
    <mergeCell ref="C570:D570"/>
    <mergeCell ref="E570:F570"/>
    <mergeCell ref="G570:H570"/>
    <mergeCell ref="E571:F571"/>
    <mergeCell ref="G571:H571"/>
    <mergeCell ref="C564:D564"/>
    <mergeCell ref="E564:F564"/>
    <mergeCell ref="G564:H564"/>
    <mergeCell ref="E565:F565"/>
    <mergeCell ref="G565:H565"/>
    <mergeCell ref="C566:D566"/>
    <mergeCell ref="E566:F566"/>
    <mergeCell ref="G566:H566"/>
    <mergeCell ref="E567:F567"/>
    <mergeCell ref="G567:H567"/>
    <mergeCell ref="K556:M556"/>
    <mergeCell ref="C557:D557"/>
    <mergeCell ref="E557:F557"/>
    <mergeCell ref="G557:H557"/>
    <mergeCell ref="I557:J557"/>
    <mergeCell ref="K557:M557"/>
    <mergeCell ref="B551:M551"/>
    <mergeCell ref="C552:D552"/>
    <mergeCell ref="E552:F552"/>
    <mergeCell ref="G552:H552"/>
    <mergeCell ref="I552:J552"/>
    <mergeCell ref="K552:M552"/>
    <mergeCell ref="C553:D553"/>
    <mergeCell ref="E553:F553"/>
    <mergeCell ref="G553:H553"/>
    <mergeCell ref="I553:J553"/>
    <mergeCell ref="K553:M553"/>
    <mergeCell ref="C562:D562"/>
    <mergeCell ref="E562:F562"/>
    <mergeCell ref="G562:H562"/>
    <mergeCell ref="E563:F563"/>
    <mergeCell ref="G563:H563"/>
    <mergeCell ref="C559:J559"/>
    <mergeCell ref="D560:E560"/>
    <mergeCell ref="I562:M562"/>
    <mergeCell ref="C563:D563"/>
    <mergeCell ref="E549:F549"/>
    <mergeCell ref="G549:H549"/>
    <mergeCell ref="C550:D550"/>
    <mergeCell ref="E550:F550"/>
    <mergeCell ref="G550:H550"/>
    <mergeCell ref="C549:D549"/>
    <mergeCell ref="E545:F545"/>
    <mergeCell ref="G545:H545"/>
    <mergeCell ref="C546:D546"/>
    <mergeCell ref="E546:F546"/>
    <mergeCell ref="G546:H546"/>
    <mergeCell ref="E547:F547"/>
    <mergeCell ref="G547:H547"/>
    <mergeCell ref="C548:D548"/>
    <mergeCell ref="E548:F548"/>
    <mergeCell ref="G548:H548"/>
    <mergeCell ref="C547:D547"/>
    <mergeCell ref="C545:D545"/>
    <mergeCell ref="B555:M555"/>
    <mergeCell ref="C556:D556"/>
    <mergeCell ref="E556:F556"/>
    <mergeCell ref="G556:H556"/>
    <mergeCell ref="I556:J556"/>
    <mergeCell ref="E541:F541"/>
    <mergeCell ref="G541:H541"/>
    <mergeCell ref="C542:D542"/>
    <mergeCell ref="E542:F542"/>
    <mergeCell ref="G542:H542"/>
    <mergeCell ref="E543:F543"/>
    <mergeCell ref="G543:H543"/>
    <mergeCell ref="C544:D544"/>
    <mergeCell ref="E544:F544"/>
    <mergeCell ref="G544:H544"/>
    <mergeCell ref="C543:D543"/>
    <mergeCell ref="C537:D537"/>
    <mergeCell ref="E537:F537"/>
    <mergeCell ref="G537:H537"/>
    <mergeCell ref="C538:D538"/>
    <mergeCell ref="E538:F538"/>
    <mergeCell ref="G538:H538"/>
    <mergeCell ref="E539:F539"/>
    <mergeCell ref="G539:H539"/>
    <mergeCell ref="C540:D540"/>
    <mergeCell ref="E540:F540"/>
    <mergeCell ref="G540:H540"/>
    <mergeCell ref="C531:D531"/>
    <mergeCell ref="E531:F531"/>
    <mergeCell ref="G531:H531"/>
    <mergeCell ref="I531:J531"/>
    <mergeCell ref="K531:M531"/>
    <mergeCell ref="C513:K513"/>
    <mergeCell ref="C533:J533"/>
    <mergeCell ref="D534:E534"/>
    <mergeCell ref="C536:D536"/>
    <mergeCell ref="E536:F536"/>
    <mergeCell ref="G536:H536"/>
    <mergeCell ref="I536:M536"/>
    <mergeCell ref="C527:D527"/>
    <mergeCell ref="E527:F527"/>
    <mergeCell ref="G527:H527"/>
    <mergeCell ref="I527:J527"/>
    <mergeCell ref="K527:M527"/>
    <mergeCell ref="B529:M529"/>
    <mergeCell ref="C530:D530"/>
    <mergeCell ref="E530:F530"/>
    <mergeCell ref="G530:H530"/>
    <mergeCell ref="I530:J530"/>
    <mergeCell ref="K530:M530"/>
    <mergeCell ref="C524:D524"/>
    <mergeCell ref="E524:F524"/>
    <mergeCell ref="G524:H524"/>
    <mergeCell ref="B525:M525"/>
    <mergeCell ref="C526:D526"/>
    <mergeCell ref="E526:F526"/>
    <mergeCell ref="G526:H526"/>
    <mergeCell ref="I526:J526"/>
    <mergeCell ref="K526:M526"/>
    <mergeCell ref="G520:H520"/>
    <mergeCell ref="C522:D522"/>
    <mergeCell ref="B509:M509"/>
    <mergeCell ref="C510:D510"/>
    <mergeCell ref="E510:F510"/>
    <mergeCell ref="G510:H510"/>
    <mergeCell ref="I510:J510"/>
    <mergeCell ref="K510:M510"/>
    <mergeCell ref="C511:D511"/>
    <mergeCell ref="E511:F511"/>
    <mergeCell ref="G511:H511"/>
    <mergeCell ref="I511:J511"/>
    <mergeCell ref="K511:M511"/>
    <mergeCell ref="C506:D506"/>
    <mergeCell ref="E506:F506"/>
    <mergeCell ref="G506:H506"/>
    <mergeCell ref="I506:J506"/>
    <mergeCell ref="K506:M506"/>
    <mergeCell ref="C507:D507"/>
    <mergeCell ref="E507:F507"/>
    <mergeCell ref="G507:H507"/>
    <mergeCell ref="I507:J507"/>
    <mergeCell ref="K507:M507"/>
    <mergeCell ref="E523:F523"/>
    <mergeCell ref="G523:H523"/>
    <mergeCell ref="C517:D517"/>
    <mergeCell ref="E517:F517"/>
    <mergeCell ref="G517:H517"/>
    <mergeCell ref="E518:F518"/>
    <mergeCell ref="G518:H518"/>
    <mergeCell ref="C501:D501"/>
    <mergeCell ref="E501:F501"/>
    <mergeCell ref="G501:H501"/>
    <mergeCell ref="E502:F502"/>
    <mergeCell ref="G502:H502"/>
    <mergeCell ref="C503:D503"/>
    <mergeCell ref="E503:F503"/>
    <mergeCell ref="G503:H503"/>
    <mergeCell ref="E504:F504"/>
    <mergeCell ref="G504:H504"/>
    <mergeCell ref="E519:F519"/>
    <mergeCell ref="G519:H519"/>
    <mergeCell ref="E521:F521"/>
    <mergeCell ref="G521:H521"/>
    <mergeCell ref="E522:F522"/>
    <mergeCell ref="G522:H522"/>
    <mergeCell ref="B505:M505"/>
    <mergeCell ref="D514:E514"/>
    <mergeCell ref="C516:D516"/>
    <mergeCell ref="E516:F516"/>
    <mergeCell ref="G516:H516"/>
    <mergeCell ref="I516:M516"/>
    <mergeCell ref="C518:D518"/>
    <mergeCell ref="C520:D520"/>
    <mergeCell ref="E520:F520"/>
    <mergeCell ref="C497:D497"/>
    <mergeCell ref="E497:F497"/>
    <mergeCell ref="G497:H497"/>
    <mergeCell ref="E498:F498"/>
    <mergeCell ref="G498:H498"/>
    <mergeCell ref="C499:D499"/>
    <mergeCell ref="E499:F499"/>
    <mergeCell ref="G499:H499"/>
    <mergeCell ref="E500:F500"/>
    <mergeCell ref="G500:H500"/>
    <mergeCell ref="C492:J492"/>
    <mergeCell ref="D493:E493"/>
    <mergeCell ref="C495:D495"/>
    <mergeCell ref="E495:F495"/>
    <mergeCell ref="G495:H495"/>
    <mergeCell ref="I495:M495"/>
    <mergeCell ref="C496:D496"/>
    <mergeCell ref="E496:F496"/>
    <mergeCell ref="G496:H496"/>
    <mergeCell ref="C490:D490"/>
    <mergeCell ref="E490:F490"/>
    <mergeCell ref="G490:H490"/>
    <mergeCell ref="I490:J490"/>
    <mergeCell ref="K490:M490"/>
    <mergeCell ref="C473:D473"/>
    <mergeCell ref="E473:F473"/>
    <mergeCell ref="G473:H473"/>
    <mergeCell ref="E474:F474"/>
    <mergeCell ref="G474:H474"/>
    <mergeCell ref="C477:D477"/>
    <mergeCell ref="E477:F477"/>
    <mergeCell ref="G477:H477"/>
    <mergeCell ref="E478:F478"/>
    <mergeCell ref="G478:H478"/>
    <mergeCell ref="C481:D481"/>
    <mergeCell ref="E481:F481"/>
    <mergeCell ref="G481:H481"/>
    <mergeCell ref="E482:F482"/>
    <mergeCell ref="G482:H482"/>
    <mergeCell ref="C475:D475"/>
    <mergeCell ref="E475:F475"/>
    <mergeCell ref="G475:H475"/>
    <mergeCell ref="C479:D479"/>
    <mergeCell ref="C485:D485"/>
    <mergeCell ref="E485:F485"/>
    <mergeCell ref="G485:H485"/>
    <mergeCell ref="I485:J485"/>
    <mergeCell ref="K485:M485"/>
    <mergeCell ref="B487:M487"/>
    <mergeCell ref="C488:D488"/>
    <mergeCell ref="E488:F488"/>
    <mergeCell ref="I488:J488"/>
    <mergeCell ref="K488:M488"/>
    <mergeCell ref="E470:F470"/>
    <mergeCell ref="G470:H470"/>
    <mergeCell ref="C471:D471"/>
    <mergeCell ref="E471:F471"/>
    <mergeCell ref="G471:H471"/>
    <mergeCell ref="B483:M483"/>
    <mergeCell ref="C484:D484"/>
    <mergeCell ref="E484:F484"/>
    <mergeCell ref="G484:H484"/>
    <mergeCell ref="I484:J484"/>
    <mergeCell ref="K484:M484"/>
    <mergeCell ref="E479:F479"/>
    <mergeCell ref="G479:H479"/>
    <mergeCell ref="E466:F466"/>
    <mergeCell ref="G466:H466"/>
    <mergeCell ref="C467:D467"/>
    <mergeCell ref="E467:F467"/>
    <mergeCell ref="G467:H467"/>
    <mergeCell ref="E468:F468"/>
    <mergeCell ref="G468:H468"/>
    <mergeCell ref="C469:D469"/>
    <mergeCell ref="E469:F469"/>
    <mergeCell ref="G469:H469"/>
    <mergeCell ref="E462:F462"/>
    <mergeCell ref="G462:H462"/>
    <mergeCell ref="C463:D463"/>
    <mergeCell ref="E463:F463"/>
    <mergeCell ref="G463:H463"/>
    <mergeCell ref="E464:F464"/>
    <mergeCell ref="G464:H464"/>
    <mergeCell ref="C465:D465"/>
    <mergeCell ref="E465:F465"/>
    <mergeCell ref="G465:H465"/>
    <mergeCell ref="E454:F454"/>
    <mergeCell ref="G454:H454"/>
    <mergeCell ref="C459:D459"/>
    <mergeCell ref="E459:F459"/>
    <mergeCell ref="G459:H459"/>
    <mergeCell ref="E460:F460"/>
    <mergeCell ref="G460:H460"/>
    <mergeCell ref="C461:D461"/>
    <mergeCell ref="E461:F461"/>
    <mergeCell ref="G461:H461"/>
    <mergeCell ref="C455:D455"/>
    <mergeCell ref="E455:F455"/>
    <mergeCell ref="G455:H455"/>
    <mergeCell ref="C457:D457"/>
    <mergeCell ref="E457:F457"/>
    <mergeCell ref="G457:H457"/>
    <mergeCell ref="D449:E449"/>
    <mergeCell ref="C451:D451"/>
    <mergeCell ref="E451:F451"/>
    <mergeCell ref="G451:H451"/>
    <mergeCell ref="I451:M451"/>
    <mergeCell ref="C452:D452"/>
    <mergeCell ref="E452:F452"/>
    <mergeCell ref="G452:H452"/>
    <mergeCell ref="C453:D453"/>
    <mergeCell ref="E453:F453"/>
    <mergeCell ref="G453:H453"/>
    <mergeCell ref="B444:M444"/>
    <mergeCell ref="C445:D445"/>
    <mergeCell ref="E445:F445"/>
    <mergeCell ref="G445:H445"/>
    <mergeCell ref="I445:J445"/>
    <mergeCell ref="K445:M445"/>
    <mergeCell ref="C446:D446"/>
    <mergeCell ref="E446:F446"/>
    <mergeCell ref="G446:H446"/>
    <mergeCell ref="I446:J446"/>
    <mergeCell ref="K446:M446"/>
    <mergeCell ref="B440:M440"/>
    <mergeCell ref="C441:D441"/>
    <mergeCell ref="E441:F441"/>
    <mergeCell ref="G441:H441"/>
    <mergeCell ref="I441:J441"/>
    <mergeCell ref="K441:M441"/>
    <mergeCell ref="C442:D442"/>
    <mergeCell ref="E442:F442"/>
    <mergeCell ref="G442:H442"/>
    <mergeCell ref="I442:J442"/>
    <mergeCell ref="K442:M442"/>
    <mergeCell ref="C448:J448"/>
    <mergeCell ref="C434:D434"/>
    <mergeCell ref="E434:F434"/>
    <mergeCell ref="C436:D436"/>
    <mergeCell ref="E436:F436"/>
    <mergeCell ref="C438:D438"/>
    <mergeCell ref="E438:F438"/>
    <mergeCell ref="C427:K427"/>
    <mergeCell ref="D428:E428"/>
    <mergeCell ref="C430:D430"/>
    <mergeCell ref="E430:F430"/>
    <mergeCell ref="G430:M430"/>
    <mergeCell ref="C431:D431"/>
    <mergeCell ref="E431:F431"/>
    <mergeCell ref="C432:D432"/>
    <mergeCell ref="E432:F432"/>
    <mergeCell ref="G200:H200"/>
    <mergeCell ref="G201:H201"/>
    <mergeCell ref="G202:H202"/>
    <mergeCell ref="G203:H203"/>
    <mergeCell ref="G204:H204"/>
    <mergeCell ref="G205:H205"/>
    <mergeCell ref="G207:H207"/>
    <mergeCell ref="G209:H209"/>
    <mergeCell ref="E322:F322"/>
    <mergeCell ref="G322:H322"/>
    <mergeCell ref="E323:F323"/>
    <mergeCell ref="G323:H323"/>
    <mergeCell ref="C324:D324"/>
    <mergeCell ref="E324:F324"/>
    <mergeCell ref="G324:H324"/>
    <mergeCell ref="E325:F325"/>
    <mergeCell ref="G325:H325"/>
    <mergeCell ref="C318:D318"/>
    <mergeCell ref="E318:F318"/>
    <mergeCell ref="G318:H318"/>
    <mergeCell ref="E319:F319"/>
    <mergeCell ref="G319:H319"/>
    <mergeCell ref="C320:D320"/>
    <mergeCell ref="C326:D326"/>
    <mergeCell ref="E326:F326"/>
    <mergeCell ref="G326:H326"/>
    <mergeCell ref="E327:F327"/>
    <mergeCell ref="G327:H327"/>
    <mergeCell ref="C328:D328"/>
    <mergeCell ref="E328:F328"/>
    <mergeCell ref="G328:H328"/>
    <mergeCell ref="C322:D322"/>
    <mergeCell ref="I183:M183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E320:F320"/>
    <mergeCell ref="G320:H320"/>
    <mergeCell ref="E321:F321"/>
    <mergeCell ref="G321:H321"/>
    <mergeCell ref="C314:D314"/>
    <mergeCell ref="E314:F314"/>
    <mergeCell ref="B336:M336"/>
    <mergeCell ref="C338:D338"/>
    <mergeCell ref="E338:F338"/>
    <mergeCell ref="G338:H338"/>
    <mergeCell ref="I338:J338"/>
    <mergeCell ref="K338:M338"/>
    <mergeCell ref="C339:D339"/>
    <mergeCell ref="E339:F339"/>
    <mergeCell ref="G339:H339"/>
    <mergeCell ref="I339:J339"/>
    <mergeCell ref="K339:M339"/>
    <mergeCell ref="B332:M332"/>
    <mergeCell ref="C333:D333"/>
    <mergeCell ref="E333:F333"/>
    <mergeCell ref="G333:H333"/>
    <mergeCell ref="I333:J333"/>
    <mergeCell ref="K333:M333"/>
    <mergeCell ref="C334:D334"/>
    <mergeCell ref="E334:F334"/>
    <mergeCell ref="G334:H334"/>
    <mergeCell ref="I334:J334"/>
    <mergeCell ref="K334:M334"/>
    <mergeCell ref="C337:D337"/>
    <mergeCell ref="E337:F337"/>
    <mergeCell ref="G337:H337"/>
    <mergeCell ref="I337:J337"/>
    <mergeCell ref="K337:M337"/>
    <mergeCell ref="G314:H314"/>
    <mergeCell ref="E315:F315"/>
    <mergeCell ref="G315:H315"/>
    <mergeCell ref="C316:D316"/>
    <mergeCell ref="E316:F316"/>
    <mergeCell ref="G316:H316"/>
    <mergeCell ref="E317:F317"/>
    <mergeCell ref="G317:H317"/>
    <mergeCell ref="C309:J309"/>
    <mergeCell ref="D310:E310"/>
    <mergeCell ref="C312:D312"/>
    <mergeCell ref="E312:F312"/>
    <mergeCell ref="G312:H312"/>
    <mergeCell ref="I312:M312"/>
    <mergeCell ref="C313:D313"/>
    <mergeCell ref="E313:F313"/>
    <mergeCell ref="G313:H313"/>
    <mergeCell ref="B304:M304"/>
    <mergeCell ref="C305:D305"/>
    <mergeCell ref="E305:F305"/>
    <mergeCell ref="G305:H305"/>
    <mergeCell ref="I305:J305"/>
    <mergeCell ref="K305:M305"/>
    <mergeCell ref="C307:D307"/>
    <mergeCell ref="E307:F307"/>
    <mergeCell ref="G307:H307"/>
    <mergeCell ref="I307:J307"/>
    <mergeCell ref="K307:M307"/>
    <mergeCell ref="E299:F299"/>
    <mergeCell ref="G299:H299"/>
    <mergeCell ref="B300:M300"/>
    <mergeCell ref="C301:D301"/>
    <mergeCell ref="E301:F301"/>
    <mergeCell ref="G301:H301"/>
    <mergeCell ref="I301:J301"/>
    <mergeCell ref="K301:M301"/>
    <mergeCell ref="C302:D302"/>
    <mergeCell ref="E302:F302"/>
    <mergeCell ref="G302:H302"/>
    <mergeCell ref="I302:J302"/>
    <mergeCell ref="K302:M302"/>
    <mergeCell ref="C306:D306"/>
    <mergeCell ref="E306:F306"/>
    <mergeCell ref="G306:H306"/>
    <mergeCell ref="I306:J306"/>
    <mergeCell ref="K306:M306"/>
    <mergeCell ref="E295:F295"/>
    <mergeCell ref="G295:H295"/>
    <mergeCell ref="C296:D296"/>
    <mergeCell ref="E296:F296"/>
    <mergeCell ref="G296:H296"/>
    <mergeCell ref="E297:F297"/>
    <mergeCell ref="G297:H297"/>
    <mergeCell ref="C298:D298"/>
    <mergeCell ref="E298:F298"/>
    <mergeCell ref="G298:H298"/>
    <mergeCell ref="E291:F291"/>
    <mergeCell ref="G291:H291"/>
    <mergeCell ref="C292:D292"/>
    <mergeCell ref="E292:F292"/>
    <mergeCell ref="G292:H292"/>
    <mergeCell ref="E293:F293"/>
    <mergeCell ref="G293:H293"/>
    <mergeCell ref="C294:D294"/>
    <mergeCell ref="E294:F294"/>
    <mergeCell ref="G294:H294"/>
    <mergeCell ref="E287:F287"/>
    <mergeCell ref="G287:H287"/>
    <mergeCell ref="C288:D288"/>
    <mergeCell ref="E288:F288"/>
    <mergeCell ref="G288:H288"/>
    <mergeCell ref="E289:F289"/>
    <mergeCell ref="G289:H289"/>
    <mergeCell ref="C290:D290"/>
    <mergeCell ref="E290:F290"/>
    <mergeCell ref="G290:H290"/>
    <mergeCell ref="C283:D283"/>
    <mergeCell ref="E283:F283"/>
    <mergeCell ref="G283:H283"/>
    <mergeCell ref="C284:D284"/>
    <mergeCell ref="E284:F284"/>
    <mergeCell ref="G284:H284"/>
    <mergeCell ref="E285:F285"/>
    <mergeCell ref="G285:H285"/>
    <mergeCell ref="C286:D286"/>
    <mergeCell ref="E286:F286"/>
    <mergeCell ref="G286:H286"/>
    <mergeCell ref="C277:D277"/>
    <mergeCell ref="E277:F277"/>
    <mergeCell ref="G277:H277"/>
    <mergeCell ref="I277:J277"/>
    <mergeCell ref="K277:M277"/>
    <mergeCell ref="C279:J279"/>
    <mergeCell ref="D280:E280"/>
    <mergeCell ref="C282:D282"/>
    <mergeCell ref="E282:F282"/>
    <mergeCell ref="G282:H282"/>
    <mergeCell ref="I282:M282"/>
    <mergeCell ref="C272:D272"/>
    <mergeCell ref="E272:F272"/>
    <mergeCell ref="G272:H272"/>
    <mergeCell ref="I272:J272"/>
    <mergeCell ref="K272:M272"/>
    <mergeCell ref="B274:M274"/>
    <mergeCell ref="C275:D275"/>
    <mergeCell ref="E275:F275"/>
    <mergeCell ref="G275:H275"/>
    <mergeCell ref="I275:J275"/>
    <mergeCell ref="K275:M275"/>
    <mergeCell ref="B270:M270"/>
    <mergeCell ref="C271:D271"/>
    <mergeCell ref="E271:F271"/>
    <mergeCell ref="G271:H271"/>
    <mergeCell ref="I271:J271"/>
    <mergeCell ref="K271:M271"/>
    <mergeCell ref="C268:D268"/>
    <mergeCell ref="E268:F268"/>
    <mergeCell ref="G268:H268"/>
    <mergeCell ref="E269:F269"/>
    <mergeCell ref="G269:H269"/>
    <mergeCell ref="C264:D264"/>
    <mergeCell ref="E264:F264"/>
    <mergeCell ref="G264:H264"/>
    <mergeCell ref="E265:F265"/>
    <mergeCell ref="G265:H265"/>
    <mergeCell ref="C266:D266"/>
    <mergeCell ref="E266:F266"/>
    <mergeCell ref="G266:H266"/>
    <mergeCell ref="E267:F267"/>
    <mergeCell ref="G267:H267"/>
    <mergeCell ref="C260:D260"/>
    <mergeCell ref="E260:F260"/>
    <mergeCell ref="G260:H260"/>
    <mergeCell ref="E261:F261"/>
    <mergeCell ref="G261:H261"/>
    <mergeCell ref="C262:D262"/>
    <mergeCell ref="E262:F262"/>
    <mergeCell ref="G262:H262"/>
    <mergeCell ref="E263:F263"/>
    <mergeCell ref="G263:H263"/>
    <mergeCell ref="C255:J255"/>
    <mergeCell ref="D256:E256"/>
    <mergeCell ref="C258:D258"/>
    <mergeCell ref="E258:F258"/>
    <mergeCell ref="G258:H258"/>
    <mergeCell ref="I258:M258"/>
    <mergeCell ref="C259:D259"/>
    <mergeCell ref="E259:F259"/>
    <mergeCell ref="G259:H259"/>
    <mergeCell ref="C253:D253"/>
    <mergeCell ref="E253:F253"/>
    <mergeCell ref="G253:H253"/>
    <mergeCell ref="I253:J253"/>
    <mergeCell ref="K253:M253"/>
    <mergeCell ref="C220:K220"/>
    <mergeCell ref="G223:H223"/>
    <mergeCell ref="G224:H224"/>
    <mergeCell ref="G225:H225"/>
    <mergeCell ref="G227:H227"/>
    <mergeCell ref="C228:D228"/>
    <mergeCell ref="G228:H228"/>
    <mergeCell ref="G229:H229"/>
    <mergeCell ref="G231:H231"/>
    <mergeCell ref="G233:H233"/>
    <mergeCell ref="G235:H235"/>
    <mergeCell ref="G237:H237"/>
    <mergeCell ref="G239:H239"/>
    <mergeCell ref="C240:D240"/>
    <mergeCell ref="G240:H240"/>
    <mergeCell ref="G241:H241"/>
    <mergeCell ref="G243:H243"/>
    <mergeCell ref="G245:H245"/>
    <mergeCell ref="I223:M223"/>
    <mergeCell ref="C249:D249"/>
    <mergeCell ref="E249:F249"/>
    <mergeCell ref="G249:H249"/>
    <mergeCell ref="I249:J249"/>
    <mergeCell ref="K249:M249"/>
    <mergeCell ref="B251:M251"/>
    <mergeCell ref="C252:D252"/>
    <mergeCell ref="E252:F252"/>
    <mergeCell ref="G252:H252"/>
    <mergeCell ref="I252:J252"/>
    <mergeCell ref="K252:M252"/>
    <mergeCell ref="C245:D245"/>
    <mergeCell ref="E245:F245"/>
    <mergeCell ref="B247:M247"/>
    <mergeCell ref="C248:D248"/>
    <mergeCell ref="E248:F248"/>
    <mergeCell ref="G248:H248"/>
    <mergeCell ref="I248:J248"/>
    <mergeCell ref="K248:M248"/>
    <mergeCell ref="C239:D239"/>
    <mergeCell ref="E239:F239"/>
    <mergeCell ref="E240:F240"/>
    <mergeCell ref="C241:D241"/>
    <mergeCell ref="E241:F241"/>
    <mergeCell ref="C243:D243"/>
    <mergeCell ref="E243:F243"/>
    <mergeCell ref="C233:D233"/>
    <mergeCell ref="E233:F233"/>
    <mergeCell ref="C235:D235"/>
    <mergeCell ref="E235:F235"/>
    <mergeCell ref="C237:D237"/>
    <mergeCell ref="E237:F237"/>
    <mergeCell ref="C227:D227"/>
    <mergeCell ref="E227:F227"/>
    <mergeCell ref="E228:F228"/>
    <mergeCell ref="C229:D229"/>
    <mergeCell ref="E229:F229"/>
    <mergeCell ref="C231:D231"/>
    <mergeCell ref="E231:F231"/>
    <mergeCell ref="D221:E221"/>
    <mergeCell ref="C223:D223"/>
    <mergeCell ref="E223:F223"/>
    <mergeCell ref="C224:D224"/>
    <mergeCell ref="E224:F224"/>
    <mergeCell ref="C225:D225"/>
    <mergeCell ref="E225:F225"/>
    <mergeCell ref="C218:D218"/>
    <mergeCell ref="E218:F218"/>
    <mergeCell ref="E195:F195"/>
    <mergeCell ref="E196:F196"/>
    <mergeCell ref="G218:H218"/>
    <mergeCell ref="I218:J218"/>
    <mergeCell ref="K218:M218"/>
    <mergeCell ref="E207:F207"/>
    <mergeCell ref="E209:F209"/>
    <mergeCell ref="C207:D207"/>
    <mergeCell ref="C209:D209"/>
    <mergeCell ref="C213:D213"/>
    <mergeCell ref="E213:F213"/>
    <mergeCell ref="G213:H213"/>
    <mergeCell ref="I213:J213"/>
    <mergeCell ref="K213:M213"/>
    <mergeCell ref="B215:M215"/>
    <mergeCell ref="C216:D216"/>
    <mergeCell ref="E216:F216"/>
    <mergeCell ref="G216:H216"/>
    <mergeCell ref="I216:J216"/>
    <mergeCell ref="K216:M216"/>
    <mergeCell ref="B211:M211"/>
    <mergeCell ref="C212:D212"/>
    <mergeCell ref="E212:F212"/>
    <mergeCell ref="G212:H212"/>
    <mergeCell ref="I212:J212"/>
    <mergeCell ref="K212:M212"/>
    <mergeCell ref="C189:D189"/>
    <mergeCell ref="E189:F189"/>
    <mergeCell ref="E190:F190"/>
    <mergeCell ref="C191:D191"/>
    <mergeCell ref="E191:F191"/>
    <mergeCell ref="E192:F192"/>
    <mergeCell ref="C185:D185"/>
    <mergeCell ref="E185:F185"/>
    <mergeCell ref="E186:F186"/>
    <mergeCell ref="C187:D187"/>
    <mergeCell ref="E187:F187"/>
    <mergeCell ref="E188:F188"/>
    <mergeCell ref="C205:D205"/>
    <mergeCell ref="E205:F205"/>
    <mergeCell ref="C147:D147"/>
    <mergeCell ref="E147:F147"/>
    <mergeCell ref="G147:H147"/>
    <mergeCell ref="C201:D201"/>
    <mergeCell ref="E201:F201"/>
    <mergeCell ref="E202:F202"/>
    <mergeCell ref="C203:D203"/>
    <mergeCell ref="E203:F203"/>
    <mergeCell ref="E204:F204"/>
    <mergeCell ref="C197:D197"/>
    <mergeCell ref="E197:F197"/>
    <mergeCell ref="E198:F198"/>
    <mergeCell ref="C199:D199"/>
    <mergeCell ref="E199:F199"/>
    <mergeCell ref="E200:F200"/>
    <mergeCell ref="G199:H199"/>
    <mergeCell ref="E194:F194"/>
    <mergeCell ref="C195:D195"/>
    <mergeCell ref="I147:J147"/>
    <mergeCell ref="K147:M147"/>
    <mergeCell ref="C149:D149"/>
    <mergeCell ref="E149:F149"/>
    <mergeCell ref="G149:H149"/>
    <mergeCell ref="I149:J149"/>
    <mergeCell ref="K149:M149"/>
    <mergeCell ref="D152:E152"/>
    <mergeCell ref="C154:D154"/>
    <mergeCell ref="E154:F154"/>
    <mergeCell ref="G154:H154"/>
    <mergeCell ref="I154:M154"/>
    <mergeCell ref="C155:D155"/>
    <mergeCell ref="E155:F155"/>
    <mergeCell ref="C144:D144"/>
    <mergeCell ref="E144:F144"/>
    <mergeCell ref="G144:H144"/>
    <mergeCell ref="I144:J144"/>
    <mergeCell ref="K144:M144"/>
    <mergeCell ref="B146:M146"/>
    <mergeCell ref="B142:M142"/>
    <mergeCell ref="C143:D143"/>
    <mergeCell ref="E143:F143"/>
    <mergeCell ref="G143:H143"/>
    <mergeCell ref="I143:J143"/>
    <mergeCell ref="K143:M143"/>
    <mergeCell ref="E136:F136"/>
    <mergeCell ref="G136:H136"/>
    <mergeCell ref="C137:D137"/>
    <mergeCell ref="E137:F137"/>
    <mergeCell ref="G137:H137"/>
    <mergeCell ref="C134:D134"/>
    <mergeCell ref="E134:F134"/>
    <mergeCell ref="G134:H134"/>
    <mergeCell ref="C135:D135"/>
    <mergeCell ref="E135:F135"/>
    <mergeCell ref="G135:H135"/>
    <mergeCell ref="C130:J130"/>
    <mergeCell ref="D131:E131"/>
    <mergeCell ref="C133:D133"/>
    <mergeCell ref="E133:F133"/>
    <mergeCell ref="G133:H133"/>
    <mergeCell ref="I133:M133"/>
    <mergeCell ref="C126:D126"/>
    <mergeCell ref="E126:F126"/>
    <mergeCell ref="G126:H126"/>
    <mergeCell ref="I126:J126"/>
    <mergeCell ref="K126:M126"/>
    <mergeCell ref="C128:D128"/>
    <mergeCell ref="E128:F128"/>
    <mergeCell ref="G128:H128"/>
    <mergeCell ref="I128:J128"/>
    <mergeCell ref="K128:M128"/>
    <mergeCell ref="C123:D123"/>
    <mergeCell ref="E123:F123"/>
    <mergeCell ref="G123:H123"/>
    <mergeCell ref="I123:J123"/>
    <mergeCell ref="K123:M123"/>
    <mergeCell ref="B125:M125"/>
    <mergeCell ref="C127:D127"/>
    <mergeCell ref="E127:F127"/>
    <mergeCell ref="G127:H127"/>
    <mergeCell ref="I127:J127"/>
    <mergeCell ref="K127:M127"/>
    <mergeCell ref="B121:M121"/>
    <mergeCell ref="C122:D122"/>
    <mergeCell ref="E122:F122"/>
    <mergeCell ref="G122:H122"/>
    <mergeCell ref="I122:J122"/>
    <mergeCell ref="K122:M122"/>
    <mergeCell ref="C119:D119"/>
    <mergeCell ref="E119:F119"/>
    <mergeCell ref="G119:H119"/>
    <mergeCell ref="E120:F120"/>
    <mergeCell ref="E116:F116"/>
    <mergeCell ref="C117:D117"/>
    <mergeCell ref="E117:F117"/>
    <mergeCell ref="G117:H117"/>
    <mergeCell ref="E118:F118"/>
    <mergeCell ref="C113:D113"/>
    <mergeCell ref="E113:F113"/>
    <mergeCell ref="G113:H113"/>
    <mergeCell ref="E114:F114"/>
    <mergeCell ref="C115:D115"/>
    <mergeCell ref="E115:F115"/>
    <mergeCell ref="G115:H115"/>
    <mergeCell ref="E110:F110"/>
    <mergeCell ref="C111:D111"/>
    <mergeCell ref="E111:F111"/>
    <mergeCell ref="G111:H111"/>
    <mergeCell ref="E112:F112"/>
    <mergeCell ref="C107:D107"/>
    <mergeCell ref="E107:F107"/>
    <mergeCell ref="G107:H107"/>
    <mergeCell ref="E108:F108"/>
    <mergeCell ref="C109:D109"/>
    <mergeCell ref="E109:F109"/>
    <mergeCell ref="G109:H109"/>
    <mergeCell ref="E104:F104"/>
    <mergeCell ref="C105:D105"/>
    <mergeCell ref="E105:F105"/>
    <mergeCell ref="G105:H105"/>
    <mergeCell ref="E106:F106"/>
    <mergeCell ref="C101:D101"/>
    <mergeCell ref="E101:F101"/>
    <mergeCell ref="G101:H101"/>
    <mergeCell ref="E102:F102"/>
    <mergeCell ref="C103:D103"/>
    <mergeCell ref="E103:F103"/>
    <mergeCell ref="G103:H103"/>
    <mergeCell ref="D97:E97"/>
    <mergeCell ref="C99:D99"/>
    <mergeCell ref="E99:F99"/>
    <mergeCell ref="G99:H99"/>
    <mergeCell ref="I99:M99"/>
    <mergeCell ref="C100:D100"/>
    <mergeCell ref="E100:F100"/>
    <mergeCell ref="G100:H100"/>
    <mergeCell ref="C94:D94"/>
    <mergeCell ref="E94:F94"/>
    <mergeCell ref="G94:H94"/>
    <mergeCell ref="I94:J94"/>
    <mergeCell ref="K94:M94"/>
    <mergeCell ref="C96:J96"/>
    <mergeCell ref="B91:M91"/>
    <mergeCell ref="C92:D92"/>
    <mergeCell ref="E92:F92"/>
    <mergeCell ref="G92:H92"/>
    <mergeCell ref="I92:J92"/>
    <mergeCell ref="K92:M92"/>
    <mergeCell ref="C88:D88"/>
    <mergeCell ref="E88:F88"/>
    <mergeCell ref="G88:H88"/>
    <mergeCell ref="I88:J88"/>
    <mergeCell ref="K88:M88"/>
    <mergeCell ref="C89:D89"/>
    <mergeCell ref="E89:F89"/>
    <mergeCell ref="G89:H89"/>
    <mergeCell ref="I89:J89"/>
    <mergeCell ref="K89:M89"/>
    <mergeCell ref="E82:F82"/>
    <mergeCell ref="G82:H82"/>
    <mergeCell ref="C83:D83"/>
    <mergeCell ref="E83:F83"/>
    <mergeCell ref="G83:H83"/>
    <mergeCell ref="B87:M87"/>
    <mergeCell ref="C79:D79"/>
    <mergeCell ref="E79:F79"/>
    <mergeCell ref="G79:H79"/>
    <mergeCell ref="E80:F80"/>
    <mergeCell ref="G80:H80"/>
    <mergeCell ref="C81:D81"/>
    <mergeCell ref="E81:F81"/>
    <mergeCell ref="G81:H81"/>
    <mergeCell ref="G85:H85"/>
    <mergeCell ref="E85:F85"/>
    <mergeCell ref="C85:D85"/>
    <mergeCell ref="E76:F76"/>
    <mergeCell ref="G76:H76"/>
    <mergeCell ref="C77:D77"/>
    <mergeCell ref="E77:F77"/>
    <mergeCell ref="G77:H77"/>
    <mergeCell ref="E78:F78"/>
    <mergeCell ref="G78:H78"/>
    <mergeCell ref="C73:D73"/>
    <mergeCell ref="E73:F73"/>
    <mergeCell ref="G73:H73"/>
    <mergeCell ref="E74:F74"/>
    <mergeCell ref="G74:H74"/>
    <mergeCell ref="C75:D75"/>
    <mergeCell ref="E75:F75"/>
    <mergeCell ref="G75:H75"/>
    <mergeCell ref="E70:F70"/>
    <mergeCell ref="G70:H70"/>
    <mergeCell ref="C71:D71"/>
    <mergeCell ref="E71:F71"/>
    <mergeCell ref="G71:H71"/>
    <mergeCell ref="E72:F72"/>
    <mergeCell ref="G72:H72"/>
    <mergeCell ref="C67:D67"/>
    <mergeCell ref="E67:F67"/>
    <mergeCell ref="G67:H67"/>
    <mergeCell ref="E68:F68"/>
    <mergeCell ref="G68:H68"/>
    <mergeCell ref="C69:D69"/>
    <mergeCell ref="E69:F69"/>
    <mergeCell ref="G69:H69"/>
    <mergeCell ref="C72:D72"/>
    <mergeCell ref="E64:F64"/>
    <mergeCell ref="G64:H64"/>
    <mergeCell ref="C65:D65"/>
    <mergeCell ref="E65:F65"/>
    <mergeCell ref="G65:H65"/>
    <mergeCell ref="E66:F66"/>
    <mergeCell ref="G66:H66"/>
    <mergeCell ref="C62:D62"/>
    <mergeCell ref="E62:F62"/>
    <mergeCell ref="G62:H62"/>
    <mergeCell ref="C63:D63"/>
    <mergeCell ref="E63:F63"/>
    <mergeCell ref="G63:H63"/>
    <mergeCell ref="P57:W57"/>
    <mergeCell ref="P58:W58"/>
    <mergeCell ref="C58:J58"/>
    <mergeCell ref="D59:E59"/>
    <mergeCell ref="C61:D61"/>
    <mergeCell ref="E61:F61"/>
    <mergeCell ref="G61:H61"/>
    <mergeCell ref="I61:M61"/>
    <mergeCell ref="E37:F37"/>
    <mergeCell ref="E39:F39"/>
    <mergeCell ref="E41:F41"/>
    <mergeCell ref="G37:H37"/>
    <mergeCell ref="G39:H39"/>
    <mergeCell ref="G41:H41"/>
    <mergeCell ref="C55:D55"/>
    <mergeCell ref="E55:F55"/>
    <mergeCell ref="G55:H55"/>
    <mergeCell ref="I55:J55"/>
    <mergeCell ref="K55:M55"/>
    <mergeCell ref="C56:D56"/>
    <mergeCell ref="E56:F56"/>
    <mergeCell ref="G56:H56"/>
    <mergeCell ref="I56:J56"/>
    <mergeCell ref="K56:M56"/>
    <mergeCell ref="C52:D52"/>
    <mergeCell ref="E52:F52"/>
    <mergeCell ref="G52:H52"/>
    <mergeCell ref="I52:J52"/>
    <mergeCell ref="K52:M52"/>
    <mergeCell ref="B54:M54"/>
    <mergeCell ref="B50:M50"/>
    <mergeCell ref="C51:D51"/>
    <mergeCell ref="C37:D37"/>
    <mergeCell ref="C39:D39"/>
    <mergeCell ref="C41:D41"/>
    <mergeCell ref="C32:D32"/>
    <mergeCell ref="E32:F32"/>
    <mergeCell ref="G32:H32"/>
    <mergeCell ref="C33:D33"/>
    <mergeCell ref="E33:F33"/>
    <mergeCell ref="G33:H33"/>
    <mergeCell ref="K26:M26"/>
    <mergeCell ref="E20:F20"/>
    <mergeCell ref="G20:H20"/>
    <mergeCell ref="I20:J20"/>
    <mergeCell ref="K20:M20"/>
    <mergeCell ref="I21:J21"/>
    <mergeCell ref="K21:M21"/>
    <mergeCell ref="C35:D35"/>
    <mergeCell ref="E35:F35"/>
    <mergeCell ref="G35:H35"/>
    <mergeCell ref="C28:J28"/>
    <mergeCell ref="D29:E29"/>
    <mergeCell ref="C31:D31"/>
    <mergeCell ref="E31:F31"/>
    <mergeCell ref="G31:H31"/>
    <mergeCell ref="I31:M31"/>
    <mergeCell ref="I24:J24"/>
    <mergeCell ref="C25:D25"/>
    <mergeCell ref="E25:F25"/>
    <mergeCell ref="G25:H25"/>
    <mergeCell ref="I25:J25"/>
    <mergeCell ref="K25:M25"/>
    <mergeCell ref="D2:E2"/>
    <mergeCell ref="C4:D4"/>
    <mergeCell ref="E4:F4"/>
    <mergeCell ref="C6:D6"/>
    <mergeCell ref="E6:F6"/>
    <mergeCell ref="C26:D26"/>
    <mergeCell ref="E26:F26"/>
    <mergeCell ref="G26:H26"/>
    <mergeCell ref="I26:J26"/>
    <mergeCell ref="C10:D10"/>
    <mergeCell ref="E10:F10"/>
    <mergeCell ref="G10:H10"/>
    <mergeCell ref="C1:J1"/>
    <mergeCell ref="G4:H4"/>
    <mergeCell ref="I4:M4"/>
    <mergeCell ref="C151:J151"/>
    <mergeCell ref="C5:D5"/>
    <mergeCell ref="E5:F5"/>
    <mergeCell ref="G5:H5"/>
    <mergeCell ref="G6:H6"/>
    <mergeCell ref="E7:F7"/>
    <mergeCell ref="G7:H7"/>
    <mergeCell ref="C24:D24"/>
    <mergeCell ref="E24:F24"/>
    <mergeCell ref="G24:H24"/>
    <mergeCell ref="C21:D21"/>
    <mergeCell ref="E21:F21"/>
    <mergeCell ref="G21:H21"/>
    <mergeCell ref="B23:M23"/>
    <mergeCell ref="B19:M19"/>
    <mergeCell ref="C20:D20"/>
    <mergeCell ref="E51:F51"/>
    <mergeCell ref="C8:D8"/>
    <mergeCell ref="E8:F8"/>
    <mergeCell ref="G8:H8"/>
    <mergeCell ref="G155:H155"/>
    <mergeCell ref="C156:D156"/>
    <mergeCell ref="E156:F156"/>
    <mergeCell ref="G156:H156"/>
    <mergeCell ref="E157:F157"/>
    <mergeCell ref="G157:H157"/>
    <mergeCell ref="C158:D158"/>
    <mergeCell ref="E158:F158"/>
    <mergeCell ref="G158:H158"/>
    <mergeCell ref="K172:M172"/>
    <mergeCell ref="C178:D178"/>
    <mergeCell ref="E178:F178"/>
    <mergeCell ref="G178:H178"/>
    <mergeCell ref="I178:J178"/>
    <mergeCell ref="K178:M178"/>
    <mergeCell ref="I173:J173"/>
    <mergeCell ref="K173:M173"/>
    <mergeCell ref="B175:M175"/>
    <mergeCell ref="C176:D176"/>
    <mergeCell ref="E176:F176"/>
    <mergeCell ref="G176:H176"/>
    <mergeCell ref="I176:J176"/>
    <mergeCell ref="K176:M176"/>
    <mergeCell ref="K24:M24"/>
    <mergeCell ref="G51:H51"/>
    <mergeCell ref="I51:J51"/>
    <mergeCell ref="K51:M51"/>
    <mergeCell ref="E49:F49"/>
    <mergeCell ref="G49:H49"/>
    <mergeCell ref="C341:J341"/>
    <mergeCell ref="F342:G342"/>
    <mergeCell ref="C344:D344"/>
    <mergeCell ref="E344:F344"/>
    <mergeCell ref="C345:D345"/>
    <mergeCell ref="E345:F345"/>
    <mergeCell ref="C342:D342"/>
    <mergeCell ref="G344:M344"/>
    <mergeCell ref="C160:D160"/>
    <mergeCell ref="C162:D162"/>
    <mergeCell ref="E160:F160"/>
    <mergeCell ref="G160:H160"/>
    <mergeCell ref="E162:F162"/>
    <mergeCell ref="G162:H162"/>
    <mergeCell ref="C173:D173"/>
    <mergeCell ref="E173:F173"/>
    <mergeCell ref="G173:H173"/>
    <mergeCell ref="E170:F170"/>
    <mergeCell ref="G170:H170"/>
    <mergeCell ref="B171:M171"/>
    <mergeCell ref="C172:D172"/>
    <mergeCell ref="E172:F172"/>
    <mergeCell ref="G172:H172"/>
    <mergeCell ref="I172:J172"/>
    <mergeCell ref="C180:J180"/>
    <mergeCell ref="D181:E181"/>
    <mergeCell ref="C183:D183"/>
    <mergeCell ref="E183:F183"/>
    <mergeCell ref="C184:D184"/>
    <mergeCell ref="E184:F184"/>
    <mergeCell ref="C193:D193"/>
    <mergeCell ref="E193:F193"/>
    <mergeCell ref="C350:D350"/>
    <mergeCell ref="E350:F350"/>
    <mergeCell ref="C346:D346"/>
    <mergeCell ref="E346:F346"/>
    <mergeCell ref="E347:F347"/>
    <mergeCell ref="C348:D348"/>
    <mergeCell ref="E348:F348"/>
    <mergeCell ref="E349:F349"/>
    <mergeCell ref="C349:D349"/>
    <mergeCell ref="B352:M352"/>
    <mergeCell ref="C353:D353"/>
    <mergeCell ref="E353:F353"/>
    <mergeCell ref="G353:H353"/>
    <mergeCell ref="I353:J353"/>
    <mergeCell ref="K353:M353"/>
    <mergeCell ref="C354:D354"/>
    <mergeCell ref="E354:F354"/>
    <mergeCell ref="G354:H354"/>
    <mergeCell ref="I354:J354"/>
    <mergeCell ref="K354:M354"/>
    <mergeCell ref="G364:M364"/>
    <mergeCell ref="B356:M356"/>
    <mergeCell ref="C357:D357"/>
    <mergeCell ref="E357:F357"/>
    <mergeCell ref="G357:H357"/>
    <mergeCell ref="I357:J357"/>
    <mergeCell ref="K357:M357"/>
    <mergeCell ref="C359:D359"/>
    <mergeCell ref="E359:F359"/>
    <mergeCell ref="G359:H359"/>
    <mergeCell ref="I359:J359"/>
    <mergeCell ref="K359:M359"/>
    <mergeCell ref="C361:K361"/>
    <mergeCell ref="D362:E362"/>
    <mergeCell ref="C378:D378"/>
    <mergeCell ref="C380:D380"/>
    <mergeCell ref="C372:D372"/>
    <mergeCell ref="C374:D374"/>
    <mergeCell ref="C376:D376"/>
    <mergeCell ref="C368:D368"/>
    <mergeCell ref="C370:D370"/>
    <mergeCell ref="C364:D364"/>
    <mergeCell ref="E364:F364"/>
    <mergeCell ref="C365:D365"/>
    <mergeCell ref="E365:F365"/>
    <mergeCell ref="C366:D366"/>
    <mergeCell ref="E366:F366"/>
    <mergeCell ref="C358:D358"/>
    <mergeCell ref="E358:F358"/>
    <mergeCell ref="G358:H358"/>
    <mergeCell ref="I358:J358"/>
    <mergeCell ref="K358:M358"/>
    <mergeCell ref="G393:H393"/>
    <mergeCell ref="I393:J393"/>
    <mergeCell ref="K393:M393"/>
    <mergeCell ref="C394:D394"/>
    <mergeCell ref="E394:F394"/>
    <mergeCell ref="G394:H394"/>
    <mergeCell ref="I394:J394"/>
    <mergeCell ref="K394:M394"/>
    <mergeCell ref="C382:D382"/>
    <mergeCell ref="C384:D384"/>
    <mergeCell ref="C386:D386"/>
    <mergeCell ref="C388:D388"/>
    <mergeCell ref="C390:D390"/>
    <mergeCell ref="E368:F368"/>
    <mergeCell ref="E370:F370"/>
    <mergeCell ref="E372:F372"/>
    <mergeCell ref="E374:F374"/>
    <mergeCell ref="E376:F376"/>
    <mergeCell ref="E378:F378"/>
    <mergeCell ref="E380:F380"/>
    <mergeCell ref="E382:F382"/>
    <mergeCell ref="E384:F384"/>
    <mergeCell ref="E386:F386"/>
    <mergeCell ref="E388:F388"/>
    <mergeCell ref="E390:F390"/>
    <mergeCell ref="B392:M392"/>
    <mergeCell ref="C393:D393"/>
    <mergeCell ref="E393:F393"/>
    <mergeCell ref="C415:D415"/>
    <mergeCell ref="E415:F415"/>
    <mergeCell ref="C417:D417"/>
    <mergeCell ref="E417:F417"/>
    <mergeCell ref="C400:K400"/>
    <mergeCell ref="D401:E401"/>
    <mergeCell ref="C403:D403"/>
    <mergeCell ref="E403:F403"/>
    <mergeCell ref="G403:M403"/>
    <mergeCell ref="C404:D404"/>
    <mergeCell ref="E404:F404"/>
    <mergeCell ref="B396:M396"/>
    <mergeCell ref="C397:D397"/>
    <mergeCell ref="E397:F397"/>
    <mergeCell ref="G397:H397"/>
    <mergeCell ref="I397:J397"/>
    <mergeCell ref="K397:M397"/>
    <mergeCell ref="C398:D398"/>
    <mergeCell ref="E398:F398"/>
    <mergeCell ref="G398:H398"/>
    <mergeCell ref="I398:J398"/>
    <mergeCell ref="K398:M398"/>
    <mergeCell ref="C425:D425"/>
    <mergeCell ref="E425:F425"/>
    <mergeCell ref="G425:H425"/>
    <mergeCell ref="I425:J425"/>
    <mergeCell ref="K425:M425"/>
    <mergeCell ref="C421:D421"/>
    <mergeCell ref="E421:F421"/>
    <mergeCell ref="G421:H421"/>
    <mergeCell ref="I421:J421"/>
    <mergeCell ref="K421:M421"/>
    <mergeCell ref="B423:M423"/>
    <mergeCell ref="C424:D424"/>
    <mergeCell ref="E424:F424"/>
    <mergeCell ref="G424:H424"/>
    <mergeCell ref="I424:J424"/>
    <mergeCell ref="K424:M424"/>
    <mergeCell ref="C405:D405"/>
    <mergeCell ref="E405:F405"/>
    <mergeCell ref="C407:D407"/>
    <mergeCell ref="E407:F407"/>
    <mergeCell ref="C409:D409"/>
    <mergeCell ref="E409:F409"/>
    <mergeCell ref="C411:D411"/>
    <mergeCell ref="E411:F411"/>
    <mergeCell ref="C413:D413"/>
    <mergeCell ref="E413:F413"/>
    <mergeCell ref="B419:M419"/>
    <mergeCell ref="C420:D420"/>
    <mergeCell ref="E420:F420"/>
    <mergeCell ref="G420:H420"/>
    <mergeCell ref="I420:J420"/>
    <mergeCell ref="K420:M420"/>
    <mergeCell ref="E761:F761"/>
    <mergeCell ref="G761:H761"/>
    <mergeCell ref="C762:D762"/>
    <mergeCell ref="E762:F762"/>
    <mergeCell ref="G762:H762"/>
    <mergeCell ref="E763:F763"/>
    <mergeCell ref="G763:H763"/>
    <mergeCell ref="C764:D764"/>
    <mergeCell ref="E764:F764"/>
    <mergeCell ref="G764:H764"/>
    <mergeCell ref="C753:J753"/>
    <mergeCell ref="D754:E754"/>
    <mergeCell ref="C756:D756"/>
    <mergeCell ref="E756:F756"/>
    <mergeCell ref="G756:H756"/>
    <mergeCell ref="I756:M756"/>
    <mergeCell ref="C757:D757"/>
    <mergeCell ref="E757:F757"/>
    <mergeCell ref="G757:H757"/>
    <mergeCell ref="C758:D758"/>
    <mergeCell ref="E758:F758"/>
    <mergeCell ref="G758:H758"/>
    <mergeCell ref="E759:F759"/>
    <mergeCell ref="G759:H759"/>
    <mergeCell ref="C760:D760"/>
    <mergeCell ref="E760:F760"/>
    <mergeCell ref="G760:H760"/>
    <mergeCell ref="B765:M765"/>
    <mergeCell ref="C766:D766"/>
    <mergeCell ref="E766:F766"/>
    <mergeCell ref="G766:H766"/>
    <mergeCell ref="I766:J766"/>
    <mergeCell ref="K766:M766"/>
    <mergeCell ref="C767:D767"/>
    <mergeCell ref="E767:F767"/>
    <mergeCell ref="G767:H767"/>
    <mergeCell ref="I767:J767"/>
    <mergeCell ref="K767:M767"/>
    <mergeCell ref="B769:M769"/>
    <mergeCell ref="C770:D770"/>
    <mergeCell ref="E770:F770"/>
    <mergeCell ref="G770:H770"/>
    <mergeCell ref="I770:J770"/>
    <mergeCell ref="K770:M770"/>
    <mergeCell ref="C772:D772"/>
    <mergeCell ref="E772:F772"/>
    <mergeCell ref="G772:H772"/>
    <mergeCell ref="I772:J772"/>
    <mergeCell ref="K772:M772"/>
    <mergeCell ref="C774:J774"/>
    <mergeCell ref="D775:E775"/>
    <mergeCell ref="C777:D777"/>
    <mergeCell ref="E777:F777"/>
    <mergeCell ref="G777:H777"/>
    <mergeCell ref="I777:M777"/>
    <mergeCell ref="C778:D778"/>
    <mergeCell ref="E778:F778"/>
    <mergeCell ref="G778:H778"/>
    <mergeCell ref="C779:D779"/>
    <mergeCell ref="E779:F779"/>
    <mergeCell ref="G779:H779"/>
    <mergeCell ref="C791:D791"/>
    <mergeCell ref="E791:F791"/>
    <mergeCell ref="G791:H791"/>
    <mergeCell ref="E792:F792"/>
    <mergeCell ref="G792:H792"/>
    <mergeCell ref="C793:D793"/>
    <mergeCell ref="E793:F793"/>
    <mergeCell ref="G793:H793"/>
    <mergeCell ref="E780:F780"/>
    <mergeCell ref="G780:H780"/>
    <mergeCell ref="C781:D781"/>
    <mergeCell ref="E781:F781"/>
    <mergeCell ref="G781:H781"/>
    <mergeCell ref="E782:F782"/>
    <mergeCell ref="G782:H782"/>
    <mergeCell ref="C783:D783"/>
    <mergeCell ref="E783:F783"/>
    <mergeCell ref="G783:H783"/>
    <mergeCell ref="E784:F784"/>
    <mergeCell ref="G784:H784"/>
    <mergeCell ref="C785:D785"/>
    <mergeCell ref="E785:F785"/>
    <mergeCell ref="G785:H785"/>
    <mergeCell ref="E786:F786"/>
    <mergeCell ref="G786:H786"/>
    <mergeCell ref="C787:D787"/>
    <mergeCell ref="E787:F787"/>
    <mergeCell ref="G787:H787"/>
    <mergeCell ref="E788:F788"/>
    <mergeCell ref="G788:H788"/>
    <mergeCell ref="C800:D800"/>
    <mergeCell ref="E800:F800"/>
    <mergeCell ref="G800:H800"/>
    <mergeCell ref="I800:J800"/>
    <mergeCell ref="K800:M800"/>
    <mergeCell ref="C801:D801"/>
    <mergeCell ref="E801:F801"/>
    <mergeCell ref="G801:H801"/>
    <mergeCell ref="I801:J801"/>
    <mergeCell ref="K801:M801"/>
    <mergeCell ref="B795:M795"/>
    <mergeCell ref="C796:D796"/>
    <mergeCell ref="E796:F796"/>
    <mergeCell ref="G796:H796"/>
    <mergeCell ref="I796:J796"/>
    <mergeCell ref="K796:M796"/>
    <mergeCell ref="C797:D797"/>
    <mergeCell ref="E797:F797"/>
    <mergeCell ref="G797:H797"/>
    <mergeCell ref="I797:J797"/>
    <mergeCell ref="K797:M797"/>
    <mergeCell ref="B799:M799"/>
    <mergeCell ref="C330:D330"/>
    <mergeCell ref="E330:F330"/>
    <mergeCell ref="G330:H330"/>
    <mergeCell ref="C830:J830"/>
    <mergeCell ref="D831:E831"/>
    <mergeCell ref="C833:D833"/>
    <mergeCell ref="E833:F833"/>
    <mergeCell ref="G833:H833"/>
    <mergeCell ref="I833:M833"/>
    <mergeCell ref="C834:D834"/>
    <mergeCell ref="E834:F834"/>
    <mergeCell ref="G834:H834"/>
    <mergeCell ref="C835:D835"/>
    <mergeCell ref="E835:F835"/>
    <mergeCell ref="G835:H835"/>
    <mergeCell ref="E836:F836"/>
    <mergeCell ref="G836:H836"/>
    <mergeCell ref="C771:D771"/>
    <mergeCell ref="E771:F771"/>
    <mergeCell ref="G771:H771"/>
    <mergeCell ref="I771:J771"/>
    <mergeCell ref="K771:M771"/>
    <mergeCell ref="C802:D802"/>
    <mergeCell ref="E802:F802"/>
    <mergeCell ref="G802:H802"/>
    <mergeCell ref="I802:J802"/>
    <mergeCell ref="K802:M802"/>
    <mergeCell ref="C789:D789"/>
    <mergeCell ref="E789:F789"/>
    <mergeCell ref="G789:H789"/>
    <mergeCell ref="E790:F790"/>
    <mergeCell ref="G790:H790"/>
    <mergeCell ref="C837:D837"/>
    <mergeCell ref="E837:F837"/>
    <mergeCell ref="G837:H837"/>
    <mergeCell ref="E838:F838"/>
    <mergeCell ref="G838:H838"/>
    <mergeCell ref="C839:D839"/>
    <mergeCell ref="E839:F839"/>
    <mergeCell ref="G839:H839"/>
    <mergeCell ref="E840:F840"/>
    <mergeCell ref="G840:H840"/>
    <mergeCell ref="C841:D841"/>
    <mergeCell ref="E841:F841"/>
    <mergeCell ref="G841:H841"/>
    <mergeCell ref="E842:F842"/>
    <mergeCell ref="G842:H842"/>
    <mergeCell ref="C843:D843"/>
    <mergeCell ref="E843:F843"/>
    <mergeCell ref="G843:H843"/>
    <mergeCell ref="E844:F844"/>
    <mergeCell ref="G844:H844"/>
    <mergeCell ref="C845:D845"/>
    <mergeCell ref="E845:F845"/>
    <mergeCell ref="G845:H845"/>
    <mergeCell ref="E846:F846"/>
    <mergeCell ref="G846:H846"/>
    <mergeCell ref="C847:D847"/>
    <mergeCell ref="E847:F847"/>
    <mergeCell ref="G847:H847"/>
    <mergeCell ref="E848:F848"/>
    <mergeCell ref="G848:H848"/>
    <mergeCell ref="C849:D849"/>
    <mergeCell ref="E849:F849"/>
    <mergeCell ref="G849:H849"/>
    <mergeCell ref="C851:D851"/>
    <mergeCell ref="E851:F851"/>
    <mergeCell ref="G851:H851"/>
    <mergeCell ref="B859:M859"/>
    <mergeCell ref="C860:D860"/>
    <mergeCell ref="E860:F860"/>
    <mergeCell ref="G860:H860"/>
    <mergeCell ref="I860:J860"/>
    <mergeCell ref="K860:M860"/>
    <mergeCell ref="C861:D861"/>
    <mergeCell ref="E861:F861"/>
    <mergeCell ref="G861:H861"/>
    <mergeCell ref="I861:J861"/>
    <mergeCell ref="K861:M861"/>
    <mergeCell ref="C862:D862"/>
    <mergeCell ref="E862:F862"/>
    <mergeCell ref="G862:H862"/>
    <mergeCell ref="I862:J862"/>
    <mergeCell ref="K862:M862"/>
    <mergeCell ref="E852:F852"/>
    <mergeCell ref="G852:H852"/>
    <mergeCell ref="C853:D853"/>
    <mergeCell ref="E853:F853"/>
    <mergeCell ref="G853:H853"/>
    <mergeCell ref="B855:M855"/>
    <mergeCell ref="C856:D856"/>
    <mergeCell ref="E856:F856"/>
    <mergeCell ref="G856:H856"/>
    <mergeCell ref="I856:J856"/>
    <mergeCell ref="K856:M856"/>
    <mergeCell ref="C857:D857"/>
    <mergeCell ref="E857:F857"/>
    <mergeCell ref="G857:H857"/>
    <mergeCell ref="I857:J857"/>
    <mergeCell ref="K857:M857"/>
  </mergeCells>
  <pageMargins left="0.25" right="0.25" top="0.25" bottom="0.25" header="0.3" footer="0.3"/>
  <pageSetup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AA6E-73E3-47B3-BAE7-AD4E7C0B65C5}">
  <sheetPr>
    <pageSetUpPr fitToPage="1"/>
  </sheetPr>
  <dimension ref="B1:Q696"/>
  <sheetViews>
    <sheetView topLeftCell="H659" zoomScale="103" workbookViewId="0">
      <selection activeCell="N659" sqref="N1:W1048576"/>
    </sheetView>
  </sheetViews>
  <sheetFormatPr defaultRowHeight="15" x14ac:dyDescent="0.25"/>
  <cols>
    <col min="1" max="1" width="5.140625" customWidth="1"/>
    <col min="2" max="2" width="26.28515625" customWidth="1"/>
    <col min="3" max="3" width="9.140625" customWidth="1"/>
    <col min="14" max="23" width="0" hidden="1" customWidth="1"/>
  </cols>
  <sheetData>
    <row r="1" spans="2:17" ht="23.25" x14ac:dyDescent="0.35">
      <c r="B1" s="29" t="s">
        <v>334</v>
      </c>
      <c r="C1" s="295" t="s">
        <v>5173</v>
      </c>
      <c r="D1" s="295"/>
      <c r="E1" s="295"/>
      <c r="F1" s="295"/>
      <c r="G1" s="295"/>
    </row>
    <row r="2" spans="2:17" ht="18.75" x14ac:dyDescent="0.3">
      <c r="B2" s="12" t="s">
        <v>335</v>
      </c>
      <c r="C2" s="1" t="s">
        <v>3949</v>
      </c>
      <c r="F2" s="228" t="s">
        <v>427</v>
      </c>
      <c r="G2" s="228"/>
      <c r="H2" s="1" t="s">
        <v>3617</v>
      </c>
      <c r="L2" s="12" t="s">
        <v>339</v>
      </c>
      <c r="M2" s="6" t="s">
        <v>5174</v>
      </c>
      <c r="O2" s="101" t="s">
        <v>481</v>
      </c>
    </row>
    <row r="3" spans="2:17" x14ac:dyDescent="0.25">
      <c r="C3" s="228" t="s">
        <v>5175</v>
      </c>
      <c r="D3" s="228"/>
      <c r="E3" s="228" t="s">
        <v>5176</v>
      </c>
      <c r="F3" s="228"/>
    </row>
    <row r="4" spans="2:17" x14ac:dyDescent="0.25">
      <c r="B4" s="2" t="s">
        <v>341</v>
      </c>
      <c r="C4" s="250" t="s">
        <v>5177</v>
      </c>
      <c r="D4" s="250"/>
      <c r="E4" s="250" t="s">
        <v>5178</v>
      </c>
      <c r="F4" s="250"/>
      <c r="G4" s="228" t="s">
        <v>345</v>
      </c>
      <c r="H4" s="228"/>
      <c r="I4" s="228"/>
      <c r="J4" s="228"/>
      <c r="K4" s="228"/>
      <c r="L4" s="228"/>
      <c r="M4" s="228"/>
      <c r="O4" s="101" t="s">
        <v>5179</v>
      </c>
      <c r="Q4" s="101" t="s">
        <v>5180</v>
      </c>
    </row>
    <row r="6" spans="2:17" x14ac:dyDescent="0.25">
      <c r="B6" s="13" t="s">
        <v>665</v>
      </c>
      <c r="C6" s="252" t="s">
        <v>678</v>
      </c>
      <c r="D6" s="252"/>
      <c r="E6" s="252" t="s">
        <v>1326</v>
      </c>
      <c r="F6" s="252"/>
      <c r="G6" s="14" t="s">
        <v>655</v>
      </c>
      <c r="H6" s="14"/>
      <c r="O6" s="102" t="e">
        <f>SUM(0.3*#REF!)/50</f>
        <v>#REF!</v>
      </c>
      <c r="Q6" s="102" t="e">
        <f>SUM(0.3*#REF!)/100</f>
        <v>#REF!</v>
      </c>
    </row>
    <row r="7" spans="2:17" x14ac:dyDescent="0.25">
      <c r="B7" s="13"/>
      <c r="C7" s="188"/>
      <c r="D7" s="188"/>
      <c r="E7" s="188"/>
      <c r="F7" s="188"/>
      <c r="G7" s="14" t="s">
        <v>3620</v>
      </c>
      <c r="H7" s="14"/>
      <c r="O7" s="98"/>
    </row>
    <row r="8" spans="2:17" x14ac:dyDescent="0.25">
      <c r="B8" s="31" t="s">
        <v>3621</v>
      </c>
      <c r="C8" s="255" t="s">
        <v>790</v>
      </c>
      <c r="D8" s="255"/>
      <c r="E8" s="255" t="s">
        <v>1037</v>
      </c>
      <c r="F8" s="255"/>
      <c r="G8" s="14" t="s">
        <v>5181</v>
      </c>
      <c r="H8" s="14"/>
      <c r="O8" s="98">
        <v>0</v>
      </c>
      <c r="Q8" s="98">
        <v>0</v>
      </c>
    </row>
    <row r="9" spans="2:17" x14ac:dyDescent="0.25">
      <c r="B9" s="14"/>
      <c r="C9" s="189"/>
      <c r="D9" s="189"/>
      <c r="E9" s="189"/>
      <c r="F9" s="189"/>
      <c r="G9" s="14" t="s">
        <v>5182</v>
      </c>
      <c r="H9" s="14"/>
      <c r="O9" s="98"/>
    </row>
    <row r="10" spans="2:17" x14ac:dyDescent="0.25">
      <c r="B10" s="13" t="s">
        <v>652</v>
      </c>
      <c r="C10" s="252" t="s">
        <v>3212</v>
      </c>
      <c r="D10" s="252"/>
      <c r="E10" s="323" t="s">
        <v>653</v>
      </c>
      <c r="F10" s="323"/>
      <c r="G10" s="14" t="s">
        <v>5183</v>
      </c>
      <c r="H10" s="14"/>
      <c r="O10" s="98" t="e">
        <f>SUM(1.5*#REF!)/50</f>
        <v>#REF!</v>
      </c>
      <c r="Q10" s="102" t="e">
        <f>SUM(1.5*#REF!)/100</f>
        <v>#REF!</v>
      </c>
    </row>
    <row r="11" spans="2:17" x14ac:dyDescent="0.25">
      <c r="B11" s="13"/>
      <c r="C11" s="188"/>
      <c r="D11" s="188"/>
      <c r="E11" s="188"/>
      <c r="F11" s="188"/>
      <c r="G11" s="14" t="s">
        <v>5184</v>
      </c>
      <c r="H11" s="14"/>
      <c r="O11" s="98"/>
    </row>
    <row r="12" spans="2:17" x14ac:dyDescent="0.25">
      <c r="B12" s="14" t="s">
        <v>1946</v>
      </c>
      <c r="C12" s="290" t="s">
        <v>1445</v>
      </c>
      <c r="D12" s="290"/>
      <c r="E12" s="290" t="s">
        <v>653</v>
      </c>
      <c r="F12" s="290"/>
      <c r="G12" s="14" t="s">
        <v>5185</v>
      </c>
      <c r="H12" s="14"/>
      <c r="O12" s="98" t="e">
        <f>SUM(2*#REF!)/50</f>
        <v>#REF!</v>
      </c>
      <c r="Q12" s="98" t="e">
        <f>SUM(2*#REF!)/100</f>
        <v>#REF!</v>
      </c>
    </row>
    <row r="13" spans="2:17" x14ac:dyDescent="0.25">
      <c r="B13" s="14"/>
      <c r="C13" s="189"/>
      <c r="D13" s="189"/>
      <c r="E13" s="189"/>
      <c r="F13" s="189"/>
      <c r="G13" s="14" t="s">
        <v>5186</v>
      </c>
      <c r="O13" s="98"/>
    </row>
    <row r="14" spans="2:17" x14ac:dyDescent="0.25">
      <c r="B14" s="13" t="s">
        <v>660</v>
      </c>
      <c r="C14" s="252" t="s">
        <v>1822</v>
      </c>
      <c r="D14" s="252"/>
      <c r="E14" s="252" t="s">
        <v>1853</v>
      </c>
      <c r="F14" s="252"/>
      <c r="G14" s="14" t="s">
        <v>5187</v>
      </c>
      <c r="O14" s="98" t="e">
        <f>SUM(14*#REF!)/50</f>
        <v>#REF!</v>
      </c>
      <c r="Q14" s="102" t="e">
        <f>SUM(14*#REF!)/100</f>
        <v>#REF!</v>
      </c>
    </row>
    <row r="15" spans="2:17" x14ac:dyDescent="0.25">
      <c r="B15" s="13"/>
      <c r="C15" s="188"/>
      <c r="D15" s="188"/>
      <c r="E15" s="188"/>
      <c r="F15" s="188"/>
      <c r="G15" t="s">
        <v>5188</v>
      </c>
      <c r="O15" s="98"/>
    </row>
    <row r="16" spans="2:17" x14ac:dyDescent="0.25">
      <c r="B16" s="14" t="s">
        <v>518</v>
      </c>
      <c r="C16" s="290" t="s">
        <v>744</v>
      </c>
      <c r="D16" s="290"/>
      <c r="E16" s="290" t="s">
        <v>508</v>
      </c>
      <c r="F16" s="290"/>
      <c r="G16" s="14" t="s">
        <v>5189</v>
      </c>
      <c r="O16" s="103" t="e">
        <f>SUM(2*#REF!)/50</f>
        <v>#REF!</v>
      </c>
      <c r="Q16" s="103" t="e">
        <f>SUM(2*#REF!)/100</f>
        <v>#REF!</v>
      </c>
    </row>
    <row r="17" spans="2:17" x14ac:dyDescent="0.25">
      <c r="B17" s="14"/>
      <c r="C17" s="189"/>
      <c r="D17" s="189"/>
      <c r="E17" s="189"/>
      <c r="F17" s="189"/>
      <c r="G17" s="14" t="s">
        <v>5190</v>
      </c>
      <c r="O17" s="98"/>
    </row>
    <row r="18" spans="2:17" x14ac:dyDescent="0.25">
      <c r="B18" s="13" t="s">
        <v>3632</v>
      </c>
      <c r="C18" s="252" t="s">
        <v>391</v>
      </c>
      <c r="D18" s="252"/>
      <c r="E18" s="252" t="s">
        <v>374</v>
      </c>
      <c r="F18" s="252"/>
      <c r="G18" s="14" t="s">
        <v>5191</v>
      </c>
      <c r="O18" s="98" t="e">
        <f>SUM(0.75*#REF!)/50</f>
        <v>#REF!</v>
      </c>
      <c r="Q18" s="98" t="e">
        <f>SUM(0.75*#REF!)/100</f>
        <v>#REF!</v>
      </c>
    </row>
    <row r="19" spans="2:17" x14ac:dyDescent="0.25">
      <c r="B19" s="13"/>
      <c r="C19" s="188"/>
      <c r="D19" s="188"/>
      <c r="E19" s="188"/>
      <c r="F19" s="188"/>
      <c r="G19" s="14" t="s">
        <v>5192</v>
      </c>
      <c r="O19" s="98"/>
    </row>
    <row r="20" spans="2:17" x14ac:dyDescent="0.25">
      <c r="B20" s="14" t="s">
        <v>677</v>
      </c>
      <c r="C20" s="290" t="s">
        <v>1822</v>
      </c>
      <c r="D20" s="290"/>
      <c r="E20" s="290" t="s">
        <v>382</v>
      </c>
      <c r="F20" s="290"/>
      <c r="G20" t="s">
        <v>5193</v>
      </c>
      <c r="I20" s="14"/>
      <c r="O20" s="98" t="e">
        <f>SUM(14*#REF!)/50</f>
        <v>#REF!</v>
      </c>
      <c r="Q20" s="102" t="e">
        <f>SUM(14*#REF!)/100</f>
        <v>#REF!</v>
      </c>
    </row>
    <row r="21" spans="2:17" x14ac:dyDescent="0.25">
      <c r="B21" s="14"/>
      <c r="C21" s="189"/>
      <c r="D21" s="189"/>
      <c r="E21" s="189"/>
      <c r="F21" s="189"/>
      <c r="G21" t="s">
        <v>5194</v>
      </c>
      <c r="O21" s="98"/>
    </row>
    <row r="22" spans="2:17" x14ac:dyDescent="0.25">
      <c r="B22" s="13" t="s">
        <v>5195</v>
      </c>
      <c r="C22" s="252" t="s">
        <v>1194</v>
      </c>
      <c r="D22" s="252"/>
      <c r="E22" s="252" t="s">
        <v>602</v>
      </c>
      <c r="F22" s="252"/>
      <c r="G22" s="14" t="s">
        <v>5196</v>
      </c>
      <c r="O22" s="99" t="e">
        <f>SUM(3*#REF!)/50</f>
        <v>#REF!</v>
      </c>
      <c r="Q22" s="99" t="e">
        <f>SUM(3*#REF!)/100</f>
        <v>#REF!</v>
      </c>
    </row>
    <row r="23" spans="2:17" x14ac:dyDescent="0.25">
      <c r="B23" s="13"/>
      <c r="C23" s="188"/>
      <c r="D23" s="188"/>
      <c r="E23" s="188"/>
      <c r="F23" s="188"/>
      <c r="G23" s="15" t="s">
        <v>5197</v>
      </c>
      <c r="O23" s="98"/>
    </row>
    <row r="24" spans="2:17" x14ac:dyDescent="0.25">
      <c r="G24" s="14" t="s">
        <v>5198</v>
      </c>
      <c r="O24" s="100" t="e">
        <f>SUM(O6:O22)</f>
        <v>#REF!</v>
      </c>
      <c r="Q24" s="100" t="e">
        <f>SUM(Q6:Q22)</f>
        <v>#REF!</v>
      </c>
    </row>
    <row r="25" spans="2:17" x14ac:dyDescent="0.25">
      <c r="G25" s="14" t="s">
        <v>5199</v>
      </c>
      <c r="O25" s="100"/>
    </row>
    <row r="26" spans="2:17" x14ac:dyDescent="0.25">
      <c r="G26" s="14" t="s">
        <v>5200</v>
      </c>
      <c r="O26" s="98"/>
    </row>
    <row r="27" spans="2:17" x14ac:dyDescent="0.25">
      <c r="B27" s="274" t="s">
        <v>5201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6"/>
    </row>
    <row r="28" spans="2:17" x14ac:dyDescent="0.25">
      <c r="B28" s="3" t="s">
        <v>402</v>
      </c>
      <c r="C28" s="234" t="s">
        <v>403</v>
      </c>
      <c r="D28" s="277"/>
      <c r="E28" s="234" t="s">
        <v>467</v>
      </c>
      <c r="F28" s="277"/>
      <c r="G28" s="234" t="s">
        <v>405</v>
      </c>
      <c r="H28" s="277"/>
      <c r="I28" s="234" t="s">
        <v>406</v>
      </c>
      <c r="J28" s="277"/>
      <c r="K28" s="234" t="s">
        <v>468</v>
      </c>
      <c r="L28" s="235"/>
      <c r="M28" s="236"/>
    </row>
    <row r="29" spans="2:17" ht="15.75" customHeight="1" x14ac:dyDescent="0.25">
      <c r="B29" s="4"/>
      <c r="C29" s="239">
        <v>1.98</v>
      </c>
      <c r="D29" s="238"/>
      <c r="E29" s="239"/>
      <c r="F29" s="238"/>
      <c r="G29" s="239"/>
      <c r="H29" s="238"/>
      <c r="I29" s="242"/>
      <c r="J29" s="278"/>
      <c r="K29" s="242"/>
      <c r="L29" s="243"/>
      <c r="M29" s="244"/>
    </row>
    <row r="30" spans="2:17" ht="15.75" customHeight="1" x14ac:dyDescent="0.25">
      <c r="B30" s="1"/>
      <c r="C30" s="1"/>
      <c r="D30" s="1"/>
      <c r="E30" s="1"/>
      <c r="F30" s="1"/>
      <c r="G30" s="1"/>
      <c r="H30" s="1"/>
    </row>
    <row r="31" spans="2:17" ht="15.75" customHeight="1" x14ac:dyDescent="0.25">
      <c r="B31" s="371" t="s">
        <v>5202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3"/>
    </row>
    <row r="32" spans="2:17" ht="15.75" customHeight="1" x14ac:dyDescent="0.25">
      <c r="B32" s="122" t="s">
        <v>5203</v>
      </c>
      <c r="C32" s="374" t="s">
        <v>4784</v>
      </c>
      <c r="D32" s="377"/>
      <c r="E32" s="378" t="s">
        <v>561</v>
      </c>
      <c r="F32" s="379"/>
      <c r="G32" s="378" t="s">
        <v>5204</v>
      </c>
      <c r="H32" s="379"/>
      <c r="I32" s="374" t="s">
        <v>5205</v>
      </c>
      <c r="J32" s="377"/>
      <c r="K32" s="374" t="s">
        <v>2997</v>
      </c>
      <c r="L32" s="375"/>
      <c r="M32" s="376"/>
    </row>
    <row r="33" spans="2:15" ht="15.75" customHeight="1" x14ac:dyDescent="0.25">
      <c r="B33" s="123" t="s">
        <v>1061</v>
      </c>
      <c r="C33" s="380" t="s">
        <v>5206</v>
      </c>
      <c r="D33" s="226"/>
      <c r="E33" s="380" t="s">
        <v>5207</v>
      </c>
      <c r="F33" s="226"/>
      <c r="G33" s="380" t="s">
        <v>3205</v>
      </c>
      <c r="H33" s="226"/>
      <c r="I33" s="380" t="s">
        <v>3846</v>
      </c>
      <c r="J33" s="226"/>
      <c r="K33" s="380" t="s">
        <v>5208</v>
      </c>
      <c r="L33" s="225"/>
      <c r="M33" s="381"/>
    </row>
    <row r="34" spans="2:15" ht="15.75" customHeight="1" x14ac:dyDescent="0.25">
      <c r="B34" s="123" t="s">
        <v>5209</v>
      </c>
      <c r="C34" s="389" t="s">
        <v>5210</v>
      </c>
      <c r="D34" s="390"/>
      <c r="E34" s="389" t="s">
        <v>5211</v>
      </c>
      <c r="F34" s="390"/>
      <c r="G34" s="389" t="s">
        <v>648</v>
      </c>
      <c r="H34" s="390"/>
      <c r="I34" s="389" t="s">
        <v>5212</v>
      </c>
      <c r="J34" s="390"/>
      <c r="K34" s="389"/>
      <c r="L34" s="391"/>
      <c r="M34" s="392"/>
    </row>
    <row r="35" spans="2:15" ht="15.75" customHeight="1" x14ac:dyDescent="0.25">
      <c r="B35" s="1"/>
      <c r="C35" s="1"/>
      <c r="D35" s="1"/>
      <c r="E35" s="1"/>
      <c r="F35" s="1"/>
      <c r="G35" s="1"/>
      <c r="H35" s="1"/>
    </row>
    <row r="36" spans="2:15" ht="15.75" customHeight="1" x14ac:dyDescent="0.25">
      <c r="B36" s="274" t="s">
        <v>5213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6"/>
    </row>
    <row r="37" spans="2:15" ht="15.75" customHeight="1" x14ac:dyDescent="0.25">
      <c r="B37" s="3" t="s">
        <v>402</v>
      </c>
      <c r="C37" s="234" t="s">
        <v>403</v>
      </c>
      <c r="D37" s="277"/>
      <c r="E37" s="234" t="s">
        <v>467</v>
      </c>
      <c r="F37" s="277"/>
      <c r="G37" s="234" t="s">
        <v>405</v>
      </c>
      <c r="H37" s="277"/>
      <c r="I37" s="234" t="s">
        <v>406</v>
      </c>
      <c r="J37" s="277"/>
      <c r="K37" s="234" t="s">
        <v>468</v>
      </c>
      <c r="L37" s="235"/>
      <c r="M37" s="236"/>
    </row>
    <row r="38" spans="2:15" x14ac:dyDescent="0.25">
      <c r="B38" s="4"/>
      <c r="C38" s="239">
        <v>1</v>
      </c>
      <c r="D38" s="238"/>
      <c r="E38" s="239"/>
      <c r="F38" s="238"/>
      <c r="G38" s="239"/>
      <c r="H38" s="238"/>
      <c r="I38" s="242"/>
      <c r="J38" s="278"/>
      <c r="K38" s="242"/>
      <c r="L38" s="243"/>
      <c r="M38" s="244"/>
    </row>
    <row r="39" spans="2:15" x14ac:dyDescent="0.25">
      <c r="B39" s="1"/>
      <c r="C39" s="1"/>
      <c r="D39" s="1"/>
      <c r="E39" s="1"/>
      <c r="F39" s="1"/>
      <c r="G39" s="1"/>
      <c r="H39" s="1"/>
    </row>
    <row r="40" spans="2:15" x14ac:dyDescent="0.25">
      <c r="B40" s="371" t="s">
        <v>5214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3"/>
    </row>
    <row r="41" spans="2:15" x14ac:dyDescent="0.25">
      <c r="B41" s="122" t="s">
        <v>5215</v>
      </c>
      <c r="C41" s="374" t="s">
        <v>5216</v>
      </c>
      <c r="D41" s="377"/>
      <c r="E41" s="378" t="s">
        <v>4255</v>
      </c>
      <c r="F41" s="379"/>
      <c r="G41" s="378" t="s">
        <v>5217</v>
      </c>
      <c r="H41" s="379"/>
      <c r="I41" s="374" t="s">
        <v>5218</v>
      </c>
      <c r="J41" s="377"/>
      <c r="K41" s="374" t="s">
        <v>5219</v>
      </c>
      <c r="L41" s="375"/>
      <c r="M41" s="376"/>
    </row>
    <row r="42" spans="2:15" x14ac:dyDescent="0.25">
      <c r="B42" s="123" t="s">
        <v>5064</v>
      </c>
      <c r="C42" s="380" t="s">
        <v>5220</v>
      </c>
      <c r="D42" s="226"/>
      <c r="E42" s="380" t="s">
        <v>5221</v>
      </c>
      <c r="F42" s="226"/>
      <c r="G42" s="380" t="s">
        <v>4412</v>
      </c>
      <c r="H42" s="226"/>
      <c r="I42" s="380" t="s">
        <v>5222</v>
      </c>
      <c r="J42" s="226"/>
      <c r="K42" s="380" t="s">
        <v>5223</v>
      </c>
      <c r="L42" s="225"/>
      <c r="M42" s="381"/>
    </row>
    <row r="43" spans="2:15" x14ac:dyDescent="0.25">
      <c r="B43" s="123" t="s">
        <v>772</v>
      </c>
      <c r="C43" s="389" t="s">
        <v>906</v>
      </c>
      <c r="D43" s="390"/>
      <c r="E43" s="389" t="s">
        <v>5224</v>
      </c>
      <c r="F43" s="390"/>
      <c r="G43" s="389" t="s">
        <v>5225</v>
      </c>
      <c r="H43" s="390"/>
      <c r="I43" s="389" t="s">
        <v>5226</v>
      </c>
      <c r="J43" s="390"/>
      <c r="K43" s="389"/>
      <c r="L43" s="391"/>
      <c r="M43" s="392"/>
    </row>
    <row r="45" spans="2:15" ht="23.25" x14ac:dyDescent="0.35">
      <c r="B45" s="29" t="s">
        <v>334</v>
      </c>
      <c r="C45" s="229" t="s">
        <v>254</v>
      </c>
      <c r="D45" s="229"/>
      <c r="E45" s="229"/>
      <c r="F45" s="229"/>
      <c r="G45" s="229"/>
      <c r="O45" s="101" t="s">
        <v>481</v>
      </c>
    </row>
    <row r="46" spans="2:15" ht="18.75" x14ac:dyDescent="0.3">
      <c r="B46" s="12" t="s">
        <v>335</v>
      </c>
      <c r="C46" s="1" t="s">
        <v>3949</v>
      </c>
      <c r="F46" s="228" t="s">
        <v>427</v>
      </c>
      <c r="G46" s="228"/>
      <c r="H46" s="1" t="s">
        <v>586</v>
      </c>
      <c r="L46" s="12" t="s">
        <v>339</v>
      </c>
      <c r="M46" s="6" t="s">
        <v>5227</v>
      </c>
    </row>
    <row r="48" spans="2:15" x14ac:dyDescent="0.25">
      <c r="B48" s="2" t="s">
        <v>341</v>
      </c>
      <c r="C48" s="250" t="s">
        <v>430</v>
      </c>
      <c r="D48" s="250"/>
      <c r="E48" s="250" t="s">
        <v>805</v>
      </c>
      <c r="F48" s="250"/>
      <c r="G48" s="228" t="s">
        <v>345</v>
      </c>
      <c r="H48" s="228"/>
      <c r="I48" s="228"/>
      <c r="J48" s="228"/>
      <c r="K48" s="228"/>
      <c r="L48" s="228"/>
      <c r="M48" s="228"/>
      <c r="O48" s="101" t="s">
        <v>732</v>
      </c>
    </row>
    <row r="50" spans="2:15" x14ac:dyDescent="0.25">
      <c r="B50" s="11" t="s">
        <v>665</v>
      </c>
      <c r="C50" s="252" t="s">
        <v>881</v>
      </c>
      <c r="D50" s="252"/>
      <c r="E50" s="252" t="s">
        <v>678</v>
      </c>
      <c r="F50" s="252"/>
      <c r="G50" s="14" t="s">
        <v>655</v>
      </c>
      <c r="H50" s="14"/>
      <c r="O50" s="102" t="e">
        <f>SUM(8*#REF!)/50</f>
        <v>#REF!</v>
      </c>
    </row>
    <row r="51" spans="2:15" x14ac:dyDescent="0.25">
      <c r="B51" s="11"/>
      <c r="C51" s="188"/>
      <c r="D51" s="188"/>
      <c r="E51" s="188"/>
      <c r="F51" s="188"/>
      <c r="G51" s="14" t="s">
        <v>3620</v>
      </c>
      <c r="H51" s="14"/>
      <c r="O51" s="98"/>
    </row>
    <row r="52" spans="2:15" x14ac:dyDescent="0.25">
      <c r="B52" s="1" t="s">
        <v>5228</v>
      </c>
      <c r="C52" s="290" t="s">
        <v>400</v>
      </c>
      <c r="D52" s="290"/>
      <c r="E52" s="290" t="s">
        <v>1711</v>
      </c>
      <c r="F52" s="290"/>
      <c r="G52" s="14" t="s">
        <v>5181</v>
      </c>
      <c r="H52" s="14"/>
      <c r="O52" s="98">
        <v>0</v>
      </c>
    </row>
    <row r="53" spans="2:15" x14ac:dyDescent="0.25">
      <c r="B53" s="1"/>
      <c r="C53" s="189"/>
      <c r="D53" s="189"/>
      <c r="E53" s="189"/>
      <c r="F53" s="189"/>
      <c r="G53" s="14" t="s">
        <v>5182</v>
      </c>
      <c r="H53" s="14"/>
      <c r="O53" s="98"/>
    </row>
    <row r="54" spans="2:15" x14ac:dyDescent="0.25">
      <c r="B54" s="11" t="s">
        <v>652</v>
      </c>
      <c r="C54" s="252" t="s">
        <v>386</v>
      </c>
      <c r="D54" s="252"/>
      <c r="E54" s="323" t="s">
        <v>653</v>
      </c>
      <c r="F54" s="323"/>
      <c r="G54" s="14" t="s">
        <v>5229</v>
      </c>
      <c r="H54" s="14"/>
      <c r="O54" s="98" t="e">
        <f>SUM(1.5*#REF!)/50</f>
        <v>#REF!</v>
      </c>
    </row>
    <row r="55" spans="2:15" x14ac:dyDescent="0.25">
      <c r="B55" s="11"/>
      <c r="C55" s="188"/>
      <c r="D55" s="188"/>
      <c r="E55" s="188"/>
      <c r="F55" s="188"/>
      <c r="G55" s="14" t="s">
        <v>5230</v>
      </c>
      <c r="O55" s="98"/>
    </row>
    <row r="56" spans="2:15" x14ac:dyDescent="0.25">
      <c r="B56" s="1" t="s">
        <v>1946</v>
      </c>
      <c r="C56" s="290" t="s">
        <v>386</v>
      </c>
      <c r="D56" s="290"/>
      <c r="E56" s="290" t="s">
        <v>653</v>
      </c>
      <c r="F56" s="290"/>
      <c r="G56" s="14" t="s">
        <v>5231</v>
      </c>
      <c r="O56" s="98" t="e">
        <f>SUM(2*#REF!)/50</f>
        <v>#REF!</v>
      </c>
    </row>
    <row r="57" spans="2:15" x14ac:dyDescent="0.25">
      <c r="B57" s="1"/>
      <c r="C57" s="189"/>
      <c r="D57" s="189"/>
      <c r="E57" s="189"/>
      <c r="F57" s="189"/>
      <c r="G57" s="14" t="s">
        <v>5232</v>
      </c>
      <c r="O57" s="98"/>
    </row>
    <row r="58" spans="2:15" x14ac:dyDescent="0.25">
      <c r="B58" s="11" t="s">
        <v>660</v>
      </c>
      <c r="C58" s="252" t="s">
        <v>508</v>
      </c>
      <c r="D58" s="252"/>
      <c r="E58" s="252" t="s">
        <v>390</v>
      </c>
      <c r="F58" s="252"/>
      <c r="G58" s="14" t="s">
        <v>5233</v>
      </c>
      <c r="O58" s="102" t="e">
        <f>SUM(0.25*#REF!)/50</f>
        <v>#REF!</v>
      </c>
    </row>
    <row r="59" spans="2:15" x14ac:dyDescent="0.25">
      <c r="B59" s="11"/>
      <c r="C59" s="188"/>
      <c r="D59" s="188"/>
      <c r="E59" s="188"/>
      <c r="F59" s="188"/>
      <c r="G59" s="14" t="s">
        <v>5234</v>
      </c>
      <c r="O59" s="102"/>
    </row>
    <row r="60" spans="2:15" x14ac:dyDescent="0.25">
      <c r="B60" s="1" t="s">
        <v>518</v>
      </c>
      <c r="C60" s="290" t="s">
        <v>486</v>
      </c>
      <c r="D60" s="290"/>
      <c r="E60" s="290" t="s">
        <v>744</v>
      </c>
      <c r="F60" s="290"/>
      <c r="G60" s="14" t="s">
        <v>5235</v>
      </c>
      <c r="O60" s="103" t="e">
        <f>SUM(1*#REF!)/50</f>
        <v>#REF!</v>
      </c>
    </row>
    <row r="61" spans="2:15" x14ac:dyDescent="0.25">
      <c r="B61" s="1"/>
      <c r="C61" s="189"/>
      <c r="D61" s="189"/>
      <c r="E61" s="189"/>
      <c r="F61" s="189"/>
      <c r="G61" s="14" t="s">
        <v>5236</v>
      </c>
      <c r="O61" s="98"/>
    </row>
    <row r="62" spans="2:15" x14ac:dyDescent="0.25">
      <c r="B62" s="11" t="s">
        <v>3632</v>
      </c>
      <c r="C62" s="252" t="s">
        <v>392</v>
      </c>
      <c r="D62" s="252"/>
      <c r="E62" s="252" t="s">
        <v>382</v>
      </c>
      <c r="F62" s="252"/>
      <c r="G62" s="14" t="s">
        <v>5237</v>
      </c>
      <c r="O62" s="98" t="e">
        <f>SUM(1*#REF!)/50</f>
        <v>#REF!</v>
      </c>
    </row>
    <row r="63" spans="2:15" x14ac:dyDescent="0.25">
      <c r="B63" s="11"/>
      <c r="C63" s="188"/>
      <c r="D63" s="188"/>
      <c r="E63" s="188"/>
      <c r="F63" s="188"/>
      <c r="G63" s="14" t="s">
        <v>5238</v>
      </c>
      <c r="O63" s="98"/>
    </row>
    <row r="64" spans="2:15" x14ac:dyDescent="0.25">
      <c r="B64" s="1" t="s">
        <v>5239</v>
      </c>
      <c r="C64" s="290" t="s">
        <v>508</v>
      </c>
      <c r="D64" s="290"/>
      <c r="E64" s="290" t="s">
        <v>390</v>
      </c>
      <c r="F64" s="290"/>
      <c r="G64" s="14" t="s">
        <v>5240</v>
      </c>
      <c r="I64" s="14"/>
      <c r="O64" s="98" t="e">
        <f>SUM(0.25*#REF!)/50</f>
        <v>#REF!</v>
      </c>
    </row>
    <row r="65" spans="2:17" x14ac:dyDescent="0.25">
      <c r="B65" s="1"/>
      <c r="C65" s="189"/>
      <c r="D65" s="189"/>
      <c r="E65" s="189"/>
      <c r="F65" s="189"/>
      <c r="G65" s="14" t="s">
        <v>5241</v>
      </c>
      <c r="O65" s="98"/>
    </row>
    <row r="66" spans="2:17" x14ac:dyDescent="0.25">
      <c r="B66" s="11" t="s">
        <v>682</v>
      </c>
      <c r="C66" s="252" t="s">
        <v>744</v>
      </c>
      <c r="D66" s="252"/>
      <c r="E66" s="252" t="s">
        <v>508</v>
      </c>
      <c r="F66" s="252"/>
      <c r="G66" s="14" t="s">
        <v>5242</v>
      </c>
      <c r="O66" s="109" t="e">
        <f>SUM(2*#REF!)/50</f>
        <v>#REF!</v>
      </c>
    </row>
    <row r="67" spans="2:17" x14ac:dyDescent="0.25">
      <c r="B67" s="11"/>
      <c r="C67" s="13"/>
      <c r="D67" s="13"/>
      <c r="E67" s="13"/>
      <c r="F67" s="13"/>
      <c r="G67" t="s">
        <v>5243</v>
      </c>
      <c r="O67" s="98"/>
    </row>
    <row r="68" spans="2:17" x14ac:dyDescent="0.25">
      <c r="B68" s="32"/>
      <c r="C68" s="255"/>
      <c r="D68" s="255"/>
      <c r="E68" s="255"/>
      <c r="F68" s="255"/>
      <c r="G68" t="s">
        <v>5244</v>
      </c>
      <c r="O68" s="100" t="e">
        <f>SUM(O50:O67)</f>
        <v>#REF!</v>
      </c>
    </row>
    <row r="69" spans="2:17" x14ac:dyDescent="0.25">
      <c r="B69" s="32"/>
      <c r="C69" s="191"/>
      <c r="D69" s="191"/>
      <c r="E69" s="191"/>
      <c r="F69" s="191"/>
      <c r="G69" s="15" t="s">
        <v>5245</v>
      </c>
      <c r="K69" s="14" t="s">
        <v>5246</v>
      </c>
      <c r="O69" s="98" t="e">
        <f>SUM(2.5*#REF!)/300</f>
        <v>#REF!</v>
      </c>
      <c r="P69" s="101" t="s">
        <v>5247</v>
      </c>
    </row>
    <row r="70" spans="2:17" x14ac:dyDescent="0.25">
      <c r="B70" s="31"/>
      <c r="C70" s="191"/>
      <c r="D70" s="191"/>
      <c r="E70" s="191"/>
      <c r="F70" s="191"/>
      <c r="G70" s="15"/>
      <c r="K70" s="14" t="s">
        <v>5248</v>
      </c>
      <c r="O70" s="103" t="e">
        <f>SUM(2*#REF!)/300</f>
        <v>#REF!</v>
      </c>
      <c r="Q70" s="100" t="e">
        <f>SUM(O68+O74)</f>
        <v>#REF!</v>
      </c>
    </row>
    <row r="71" spans="2:17" x14ac:dyDescent="0.25">
      <c r="B71" s="31"/>
      <c r="C71" s="191"/>
      <c r="D71" s="191"/>
      <c r="E71" s="191"/>
      <c r="F71" s="191"/>
      <c r="G71" s="15"/>
      <c r="K71" s="14" t="s">
        <v>5249</v>
      </c>
      <c r="O71" s="102" t="e">
        <f>SUM(3*#REF!)/300</f>
        <v>#REF!</v>
      </c>
    </row>
    <row r="72" spans="2:17" x14ac:dyDescent="0.25">
      <c r="B72" s="31"/>
      <c r="C72" s="191"/>
      <c r="D72" s="191"/>
      <c r="E72" s="191"/>
      <c r="F72" s="191"/>
      <c r="G72" s="15"/>
      <c r="K72" s="14" t="s">
        <v>5250</v>
      </c>
      <c r="O72" s="102" t="e">
        <f>SUM(3*#REF!)/300</f>
        <v>#REF!</v>
      </c>
    </row>
    <row r="73" spans="2:17" x14ac:dyDescent="0.25">
      <c r="B73" s="31"/>
      <c r="C73" s="191"/>
      <c r="D73" s="191"/>
      <c r="E73" s="191"/>
      <c r="F73" s="191"/>
      <c r="G73" s="15"/>
      <c r="K73" s="14" t="s">
        <v>5251</v>
      </c>
      <c r="O73" s="99" t="e">
        <f>SUM(2*#REF!)/300</f>
        <v>#REF!</v>
      </c>
    </row>
    <row r="74" spans="2:17" x14ac:dyDescent="0.25">
      <c r="B74" s="31"/>
      <c r="C74" s="191"/>
      <c r="D74" s="191"/>
      <c r="E74" s="191"/>
      <c r="F74" s="191"/>
      <c r="G74" s="15" t="s">
        <v>5197</v>
      </c>
      <c r="H74" s="14"/>
      <c r="O74" s="100" t="e">
        <f>SUM(O69:O73)</f>
        <v>#REF!</v>
      </c>
    </row>
    <row r="75" spans="2:17" x14ac:dyDescent="0.25">
      <c r="B75" s="217" t="s">
        <v>401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9"/>
    </row>
    <row r="76" spans="2:17" x14ac:dyDescent="0.25">
      <c r="B76" s="3" t="s">
        <v>402</v>
      </c>
      <c r="C76" s="232" t="s">
        <v>403</v>
      </c>
      <c r="D76" s="232"/>
      <c r="E76" s="232" t="s">
        <v>467</v>
      </c>
      <c r="F76" s="232"/>
      <c r="G76" s="232" t="s">
        <v>405</v>
      </c>
      <c r="H76" s="232"/>
      <c r="I76" s="232" t="s">
        <v>406</v>
      </c>
      <c r="J76" s="232"/>
      <c r="K76" s="234" t="s">
        <v>468</v>
      </c>
      <c r="L76" s="235"/>
      <c r="M76" s="236"/>
    </row>
    <row r="77" spans="2:17" ht="15.75" thickBot="1" x14ac:dyDescent="0.3">
      <c r="B77" s="4"/>
      <c r="C77" s="237">
        <v>1.98</v>
      </c>
      <c r="D77" s="238"/>
      <c r="E77" s="239"/>
      <c r="F77" s="238"/>
      <c r="G77" s="240"/>
      <c r="H77" s="240"/>
      <c r="I77" s="241"/>
      <c r="J77" s="241"/>
      <c r="K77" s="242"/>
      <c r="L77" s="243"/>
      <c r="M77" s="244"/>
    </row>
    <row r="78" spans="2:17" x14ac:dyDescent="0.25">
      <c r="B78" s="1"/>
      <c r="C78" s="1"/>
      <c r="D78" s="1"/>
      <c r="E78" s="1"/>
      <c r="F78" s="1"/>
      <c r="G78" s="1"/>
      <c r="H78" s="1"/>
    </row>
    <row r="79" spans="2:17" x14ac:dyDescent="0.25">
      <c r="B79" s="382" t="s">
        <v>408</v>
      </c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4"/>
    </row>
    <row r="80" spans="2:17" x14ac:dyDescent="0.25">
      <c r="B80" s="122" t="s">
        <v>5252</v>
      </c>
      <c r="C80" s="220" t="s">
        <v>2727</v>
      </c>
      <c r="D80" s="220"/>
      <c r="E80" s="385" t="s">
        <v>691</v>
      </c>
      <c r="F80" s="385"/>
      <c r="G80" s="385" t="s">
        <v>5253</v>
      </c>
      <c r="H80" s="385"/>
      <c r="I80" s="220" t="s">
        <v>5254</v>
      </c>
      <c r="J80" s="220"/>
      <c r="K80" s="220" t="s">
        <v>5255</v>
      </c>
      <c r="L80" s="220"/>
      <c r="M80" s="222"/>
    </row>
    <row r="81" spans="2:13" x14ac:dyDescent="0.25">
      <c r="B81" s="124" t="s">
        <v>5256</v>
      </c>
      <c r="C81" s="245" t="s">
        <v>416</v>
      </c>
      <c r="D81" s="246"/>
      <c r="E81" s="247" t="s">
        <v>5257</v>
      </c>
      <c r="F81" s="247"/>
      <c r="G81" s="247" t="s">
        <v>3974</v>
      </c>
      <c r="H81" s="247"/>
      <c r="I81" s="247" t="s">
        <v>5258</v>
      </c>
      <c r="J81" s="247"/>
      <c r="K81" s="247" t="s">
        <v>5259</v>
      </c>
      <c r="L81" s="247"/>
      <c r="M81" s="249"/>
    </row>
    <row r="82" spans="2:13" x14ac:dyDescent="0.25">
      <c r="B82" s="168" t="s">
        <v>3507</v>
      </c>
      <c r="C82" s="257" t="s">
        <v>5260</v>
      </c>
      <c r="D82" s="258"/>
      <c r="E82" s="259" t="s">
        <v>5261</v>
      </c>
      <c r="F82" s="259"/>
      <c r="G82" s="260" t="s">
        <v>5262</v>
      </c>
      <c r="H82" s="260"/>
      <c r="I82" s="260" t="s">
        <v>5263</v>
      </c>
      <c r="J82" s="260"/>
      <c r="K82" s="260"/>
      <c r="L82" s="260"/>
      <c r="M82" s="261"/>
    </row>
    <row r="84" spans="2:13" ht="23.25" x14ac:dyDescent="0.35">
      <c r="B84" s="29" t="s">
        <v>334</v>
      </c>
      <c r="C84" s="229" t="s">
        <v>258</v>
      </c>
      <c r="D84" s="229"/>
      <c r="E84" s="229"/>
      <c r="F84" s="229"/>
      <c r="G84" s="229"/>
    </row>
    <row r="85" spans="2:13" ht="18.75" x14ac:dyDescent="0.3">
      <c r="B85" s="12" t="s">
        <v>335</v>
      </c>
      <c r="C85" s="1" t="s">
        <v>3949</v>
      </c>
      <c r="F85" s="228" t="s">
        <v>427</v>
      </c>
      <c r="G85" s="228"/>
      <c r="H85" s="1" t="s">
        <v>5264</v>
      </c>
      <c r="L85" s="12" t="s">
        <v>339</v>
      </c>
      <c r="M85" s="6" t="s">
        <v>5265</v>
      </c>
    </row>
    <row r="87" spans="2:13" x14ac:dyDescent="0.25">
      <c r="B87" s="2" t="s">
        <v>341</v>
      </c>
      <c r="C87" s="250" t="s">
        <v>5266</v>
      </c>
      <c r="D87" s="250"/>
      <c r="E87" s="250"/>
      <c r="F87" s="250"/>
      <c r="G87" s="228" t="s">
        <v>345</v>
      </c>
      <c r="H87" s="228"/>
      <c r="I87" s="228"/>
      <c r="J87" s="228"/>
      <c r="K87" s="228"/>
      <c r="L87" s="228"/>
      <c r="M87" s="228"/>
    </row>
    <row r="89" spans="2:13" x14ac:dyDescent="0.25">
      <c r="B89" s="11" t="s">
        <v>518</v>
      </c>
      <c r="C89" s="252" t="s">
        <v>513</v>
      </c>
      <c r="D89" s="252"/>
      <c r="E89" s="252"/>
      <c r="F89" s="252"/>
      <c r="G89" s="14" t="s">
        <v>4270</v>
      </c>
    </row>
    <row r="90" spans="2:13" x14ac:dyDescent="0.25">
      <c r="B90" s="11"/>
      <c r="C90" s="188"/>
      <c r="D90" s="188"/>
      <c r="E90" s="8"/>
      <c r="F90" s="8"/>
      <c r="G90" s="14" t="s">
        <v>5267</v>
      </c>
      <c r="L90" s="14"/>
      <c r="M90" s="14"/>
    </row>
    <row r="91" spans="2:13" x14ac:dyDescent="0.25">
      <c r="B91" s="1" t="s">
        <v>660</v>
      </c>
      <c r="C91" s="290" t="s">
        <v>1037</v>
      </c>
      <c r="D91" s="290"/>
      <c r="E91" s="290"/>
      <c r="F91" s="290"/>
      <c r="G91" s="14" t="s">
        <v>5268</v>
      </c>
      <c r="L91" s="14"/>
      <c r="M91" s="14"/>
    </row>
    <row r="92" spans="2:13" x14ac:dyDescent="0.25">
      <c r="B92" s="1"/>
      <c r="C92" s="189"/>
      <c r="D92" s="189"/>
      <c r="G92" s="14" t="s">
        <v>5269</v>
      </c>
      <c r="L92" s="14"/>
      <c r="M92" s="14"/>
    </row>
    <row r="93" spans="2:13" x14ac:dyDescent="0.25">
      <c r="B93" s="11" t="s">
        <v>5270</v>
      </c>
      <c r="C93" s="252" t="s">
        <v>1708</v>
      </c>
      <c r="D93" s="252"/>
      <c r="E93" s="252"/>
      <c r="F93" s="252"/>
      <c r="G93" s="14" t="s">
        <v>5271</v>
      </c>
      <c r="L93" s="14"/>
      <c r="M93" s="14"/>
    </row>
    <row r="94" spans="2:13" x14ac:dyDescent="0.25">
      <c r="B94" s="11"/>
      <c r="C94" s="188"/>
      <c r="D94" s="188"/>
      <c r="E94" s="8"/>
      <c r="F94" s="8"/>
      <c r="G94" s="14"/>
      <c r="L94" s="14"/>
      <c r="M94" s="14"/>
    </row>
    <row r="95" spans="2:13" x14ac:dyDescent="0.25">
      <c r="B95" s="1" t="s">
        <v>3912</v>
      </c>
      <c r="C95" s="290" t="s">
        <v>5272</v>
      </c>
      <c r="D95" s="290"/>
      <c r="E95" s="290"/>
      <c r="F95" s="290"/>
      <c r="G95" s="14" t="s">
        <v>5273</v>
      </c>
      <c r="L95" s="14"/>
      <c r="M95" s="14"/>
    </row>
    <row r="96" spans="2:13" x14ac:dyDescent="0.25">
      <c r="B96" s="1"/>
      <c r="C96" s="189"/>
      <c r="D96" s="189"/>
      <c r="G96" s="14" t="s">
        <v>5274</v>
      </c>
      <c r="L96" s="14"/>
      <c r="M96" s="14"/>
    </row>
    <row r="97" spans="2:13" x14ac:dyDescent="0.25">
      <c r="B97" s="11" t="s">
        <v>3991</v>
      </c>
      <c r="C97" s="252" t="s">
        <v>891</v>
      </c>
      <c r="D97" s="252"/>
      <c r="E97" s="252"/>
      <c r="F97" s="252"/>
      <c r="L97" s="14"/>
      <c r="M97" s="14"/>
    </row>
    <row r="98" spans="2:13" x14ac:dyDescent="0.25">
      <c r="B98" s="11"/>
      <c r="C98" s="188"/>
      <c r="D98" s="188"/>
      <c r="E98" s="8"/>
      <c r="F98" s="8"/>
      <c r="L98" s="14"/>
    </row>
    <row r="99" spans="2:13" x14ac:dyDescent="0.25">
      <c r="B99" s="1" t="s">
        <v>652</v>
      </c>
      <c r="C99" s="290" t="s">
        <v>1194</v>
      </c>
      <c r="D99" s="290"/>
      <c r="E99" s="290"/>
      <c r="F99" s="290"/>
      <c r="L99" s="14"/>
    </row>
    <row r="100" spans="2:13" x14ac:dyDescent="0.25">
      <c r="B100" s="1"/>
      <c r="C100" s="189"/>
      <c r="D100" s="189"/>
      <c r="L100" s="14"/>
    </row>
    <row r="101" spans="2:13" x14ac:dyDescent="0.25">
      <c r="B101" s="11" t="s">
        <v>1946</v>
      </c>
      <c r="C101" s="252" t="s">
        <v>1194</v>
      </c>
      <c r="D101" s="252"/>
      <c r="E101" s="252"/>
      <c r="F101" s="252"/>
      <c r="L101" s="14"/>
    </row>
    <row r="102" spans="2:13" x14ac:dyDescent="0.25">
      <c r="B102" s="11"/>
      <c r="C102" s="188"/>
      <c r="D102" s="188"/>
      <c r="E102" s="8"/>
      <c r="F102" s="8"/>
      <c r="L102" s="14"/>
    </row>
    <row r="103" spans="2:13" x14ac:dyDescent="0.25">
      <c r="B103" s="1" t="s">
        <v>848</v>
      </c>
      <c r="C103" s="290" t="s">
        <v>1445</v>
      </c>
      <c r="D103" s="290"/>
      <c r="E103" s="290"/>
      <c r="F103" s="290"/>
      <c r="L103" s="14"/>
    </row>
    <row r="104" spans="2:13" ht="15.75" thickBot="1" x14ac:dyDescent="0.3">
      <c r="B104" s="1"/>
      <c r="C104" s="189"/>
      <c r="D104" s="189"/>
      <c r="L104" s="14"/>
    </row>
    <row r="105" spans="2:13" x14ac:dyDescent="0.25">
      <c r="B105" s="274" t="s">
        <v>401</v>
      </c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6"/>
    </row>
    <row r="106" spans="2:13" x14ac:dyDescent="0.25">
      <c r="B106" s="3" t="s">
        <v>402</v>
      </c>
      <c r="C106" s="232" t="s">
        <v>403</v>
      </c>
      <c r="D106" s="232"/>
      <c r="E106" s="232" t="s">
        <v>467</v>
      </c>
      <c r="F106" s="232"/>
      <c r="G106" s="232" t="s">
        <v>405</v>
      </c>
      <c r="H106" s="232"/>
      <c r="I106" s="232" t="s">
        <v>406</v>
      </c>
      <c r="J106" s="232"/>
      <c r="K106" s="234" t="s">
        <v>468</v>
      </c>
      <c r="L106" s="235"/>
      <c r="M106" s="236"/>
    </row>
    <row r="107" spans="2:13" ht="15.75" thickBot="1" x14ac:dyDescent="0.3">
      <c r="B107" s="5">
        <v>0.28000000000000003</v>
      </c>
      <c r="C107" s="237">
        <v>0.5</v>
      </c>
      <c r="D107" s="238"/>
      <c r="E107" s="239"/>
      <c r="F107" s="238"/>
      <c r="G107" s="240"/>
      <c r="H107" s="240"/>
      <c r="I107" s="241"/>
      <c r="J107" s="241"/>
      <c r="K107" s="242"/>
      <c r="L107" s="243"/>
      <c r="M107" s="244"/>
    </row>
    <row r="108" spans="2:13" x14ac:dyDescent="0.25">
      <c r="B108" s="1"/>
      <c r="C108" s="1"/>
      <c r="D108" s="1"/>
      <c r="E108" s="1"/>
      <c r="F108" s="1"/>
      <c r="G108" s="1"/>
      <c r="H108" s="1"/>
    </row>
    <row r="109" spans="2:13" x14ac:dyDescent="0.25">
      <c r="B109" s="382" t="s">
        <v>408</v>
      </c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4"/>
    </row>
    <row r="110" spans="2:13" x14ac:dyDescent="0.25">
      <c r="B110" s="122" t="s">
        <v>5275</v>
      </c>
      <c r="C110" s="220" t="s">
        <v>5276</v>
      </c>
      <c r="D110" s="220"/>
      <c r="E110" s="385" t="s">
        <v>3605</v>
      </c>
      <c r="F110" s="385"/>
      <c r="G110" s="385" t="s">
        <v>2196</v>
      </c>
      <c r="H110" s="385"/>
      <c r="I110" s="220" t="s">
        <v>5277</v>
      </c>
      <c r="J110" s="220"/>
      <c r="K110" s="220" t="s">
        <v>5278</v>
      </c>
      <c r="L110" s="220"/>
      <c r="M110" s="222"/>
    </row>
    <row r="111" spans="2:13" x14ac:dyDescent="0.25">
      <c r="B111" s="123" t="s">
        <v>767</v>
      </c>
      <c r="C111" s="225" t="s">
        <v>5220</v>
      </c>
      <c r="D111" s="226"/>
      <c r="E111" s="223" t="s">
        <v>5279</v>
      </c>
      <c r="F111" s="223"/>
      <c r="G111" s="223" t="s">
        <v>4623</v>
      </c>
      <c r="H111" s="223"/>
      <c r="I111" s="223" t="s">
        <v>569</v>
      </c>
      <c r="J111" s="223"/>
      <c r="K111" s="223" t="s">
        <v>5280</v>
      </c>
      <c r="L111" s="223"/>
      <c r="M111" s="224"/>
    </row>
    <row r="112" spans="2:13" x14ac:dyDescent="0.25">
      <c r="B112" s="123" t="s">
        <v>5281</v>
      </c>
      <c r="C112" s="225" t="s">
        <v>422</v>
      </c>
      <c r="D112" s="226"/>
      <c r="E112" s="227" t="s">
        <v>5282</v>
      </c>
      <c r="F112" s="227"/>
      <c r="G112" s="223" t="s">
        <v>424</v>
      </c>
      <c r="H112" s="223"/>
      <c r="I112" s="223" t="s">
        <v>5283</v>
      </c>
      <c r="J112" s="223"/>
      <c r="K112" s="223" t="s">
        <v>575</v>
      </c>
      <c r="L112" s="223"/>
      <c r="M112" s="224"/>
    </row>
    <row r="114" spans="2:13" ht="23.25" x14ac:dyDescent="0.35">
      <c r="B114" s="29" t="s">
        <v>334</v>
      </c>
      <c r="C114" s="295" t="s">
        <v>270</v>
      </c>
      <c r="D114" s="295"/>
      <c r="E114" s="295"/>
      <c r="F114" s="295"/>
      <c r="G114" s="295"/>
      <c r="H114" s="295"/>
      <c r="I114" s="295"/>
    </row>
    <row r="115" spans="2:13" ht="18.75" x14ac:dyDescent="0.3">
      <c r="B115" s="12" t="s">
        <v>335</v>
      </c>
      <c r="C115" s="1" t="s">
        <v>3949</v>
      </c>
      <c r="F115" s="228" t="s">
        <v>427</v>
      </c>
      <c r="G115" s="228"/>
      <c r="H115" s="1" t="s">
        <v>5284</v>
      </c>
      <c r="L115" s="12" t="s">
        <v>339</v>
      </c>
      <c r="M115" s="6" t="s">
        <v>5285</v>
      </c>
    </row>
    <row r="117" spans="2:13" x14ac:dyDescent="0.25">
      <c r="B117" s="2" t="s">
        <v>341</v>
      </c>
      <c r="C117" s="386" t="s">
        <v>5286</v>
      </c>
      <c r="D117" s="250"/>
      <c r="E117" s="228" t="s">
        <v>345</v>
      </c>
      <c r="F117" s="228"/>
      <c r="G117" s="228"/>
      <c r="H117" s="228"/>
      <c r="I117" s="228"/>
      <c r="J117" s="228"/>
      <c r="K117" s="228"/>
    </row>
    <row r="119" spans="2:13" x14ac:dyDescent="0.25">
      <c r="B119" s="13" t="s">
        <v>652</v>
      </c>
      <c r="C119" s="252" t="s">
        <v>383</v>
      </c>
      <c r="D119" s="252"/>
      <c r="E119" s="14" t="s">
        <v>3951</v>
      </c>
      <c r="F119" s="14"/>
    </row>
    <row r="120" spans="2:13" x14ac:dyDescent="0.25">
      <c r="B120" s="13"/>
      <c r="C120" s="188"/>
      <c r="D120" s="188"/>
      <c r="E120" s="14" t="s">
        <v>5287</v>
      </c>
      <c r="F120" s="14"/>
    </row>
    <row r="121" spans="2:13" x14ac:dyDescent="0.25">
      <c r="B121" s="14" t="s">
        <v>1946</v>
      </c>
      <c r="C121" s="290" t="s">
        <v>383</v>
      </c>
      <c r="D121" s="290"/>
      <c r="E121" s="14" t="s">
        <v>5288</v>
      </c>
      <c r="F121" s="14"/>
    </row>
    <row r="122" spans="2:13" x14ac:dyDescent="0.25">
      <c r="B122" s="14"/>
      <c r="C122" s="189"/>
      <c r="D122" s="189"/>
      <c r="E122" s="14" t="s">
        <v>5289</v>
      </c>
      <c r="F122" s="14"/>
    </row>
    <row r="123" spans="2:13" x14ac:dyDescent="0.25">
      <c r="B123" s="13" t="s">
        <v>1840</v>
      </c>
      <c r="C123" s="252" t="s">
        <v>513</v>
      </c>
      <c r="D123" s="252"/>
      <c r="E123" s="14" t="s">
        <v>5290</v>
      </c>
      <c r="F123" s="14"/>
    </row>
    <row r="124" spans="2:13" x14ac:dyDescent="0.25">
      <c r="B124" s="13"/>
      <c r="C124" s="188"/>
      <c r="D124" s="188"/>
      <c r="E124" s="14" t="s">
        <v>5291</v>
      </c>
      <c r="F124" s="14"/>
    </row>
    <row r="125" spans="2:13" x14ac:dyDescent="0.25">
      <c r="B125" s="14" t="s">
        <v>3727</v>
      </c>
      <c r="C125" s="290" t="s">
        <v>513</v>
      </c>
      <c r="D125" s="290"/>
      <c r="E125" s="14" t="s">
        <v>5292</v>
      </c>
      <c r="F125" s="14"/>
    </row>
    <row r="126" spans="2:13" x14ac:dyDescent="0.25">
      <c r="B126" s="14"/>
      <c r="C126" s="189"/>
      <c r="D126" s="189"/>
      <c r="E126" s="14"/>
      <c r="F126" s="14"/>
    </row>
    <row r="127" spans="2:13" x14ac:dyDescent="0.25">
      <c r="B127" s="13" t="s">
        <v>3906</v>
      </c>
      <c r="C127" s="252" t="s">
        <v>516</v>
      </c>
      <c r="D127" s="252"/>
      <c r="E127" s="14"/>
    </row>
    <row r="128" spans="2:13" x14ac:dyDescent="0.25">
      <c r="B128" s="13"/>
      <c r="C128" s="188"/>
      <c r="D128" s="188"/>
      <c r="E128" s="14"/>
    </row>
    <row r="129" spans="2:7" x14ac:dyDescent="0.25">
      <c r="B129" s="14" t="s">
        <v>548</v>
      </c>
      <c r="C129" s="290" t="s">
        <v>516</v>
      </c>
      <c r="D129" s="290"/>
      <c r="E129" s="14"/>
    </row>
    <row r="130" spans="2:7" x14ac:dyDescent="0.25">
      <c r="B130" s="14"/>
      <c r="C130" s="189"/>
      <c r="D130" s="189"/>
      <c r="E130" s="14"/>
    </row>
    <row r="131" spans="2:7" x14ac:dyDescent="0.25">
      <c r="B131" s="13" t="s">
        <v>5293</v>
      </c>
      <c r="C131" s="252" t="s">
        <v>1443</v>
      </c>
      <c r="D131" s="252"/>
      <c r="E131" s="14"/>
    </row>
    <row r="132" spans="2:7" x14ac:dyDescent="0.25">
      <c r="B132" s="13"/>
      <c r="C132" s="188"/>
      <c r="D132" s="188"/>
      <c r="E132" s="14"/>
    </row>
    <row r="133" spans="2:7" x14ac:dyDescent="0.25">
      <c r="B133" s="14" t="s">
        <v>354</v>
      </c>
      <c r="C133" s="290" t="s">
        <v>1445</v>
      </c>
      <c r="D133" s="290"/>
      <c r="E133" s="14"/>
    </row>
    <row r="134" spans="2:7" x14ac:dyDescent="0.25">
      <c r="B134" s="14"/>
      <c r="C134" s="189"/>
      <c r="D134" s="189"/>
      <c r="G134" s="14"/>
    </row>
    <row r="135" spans="2:7" x14ac:dyDescent="0.25">
      <c r="B135" s="13" t="s">
        <v>3912</v>
      </c>
      <c r="C135" s="252" t="s">
        <v>3438</v>
      </c>
      <c r="D135" s="252"/>
      <c r="E135" s="14"/>
    </row>
    <row r="136" spans="2:7" x14ac:dyDescent="0.25">
      <c r="B136" s="13"/>
      <c r="C136" s="13"/>
      <c r="D136" s="13"/>
      <c r="E136" s="15"/>
      <c r="F136" s="14"/>
    </row>
    <row r="137" spans="2:7" x14ac:dyDescent="0.25">
      <c r="B137" s="14" t="s">
        <v>3991</v>
      </c>
      <c r="C137" s="290" t="s">
        <v>513</v>
      </c>
      <c r="D137" s="290"/>
    </row>
    <row r="138" spans="2:7" x14ac:dyDescent="0.25">
      <c r="B138" s="14"/>
      <c r="C138" s="189"/>
      <c r="D138" s="189"/>
    </row>
    <row r="139" spans="2:7" x14ac:dyDescent="0.25">
      <c r="B139" s="13" t="s">
        <v>2879</v>
      </c>
      <c r="C139" s="252" t="s">
        <v>602</v>
      </c>
      <c r="D139" s="252"/>
    </row>
    <row r="140" spans="2:7" x14ac:dyDescent="0.25">
      <c r="B140" s="13"/>
      <c r="C140" s="188"/>
      <c r="D140" s="188"/>
    </row>
    <row r="141" spans="2:7" x14ac:dyDescent="0.25">
      <c r="B141" s="14" t="s">
        <v>4032</v>
      </c>
      <c r="C141" s="290" t="s">
        <v>1497</v>
      </c>
      <c r="D141" s="290"/>
    </row>
    <row r="142" spans="2:7" x14ac:dyDescent="0.25">
      <c r="B142" s="14"/>
      <c r="C142" s="189"/>
      <c r="D142" s="189"/>
    </row>
    <row r="143" spans="2:7" x14ac:dyDescent="0.25">
      <c r="B143" s="13" t="s">
        <v>5294</v>
      </c>
      <c r="C143" s="252" t="s">
        <v>789</v>
      </c>
      <c r="D143" s="252"/>
    </row>
    <row r="144" spans="2:7" ht="15.75" thickBot="1" x14ac:dyDescent="0.3">
      <c r="B144" s="13"/>
      <c r="C144" s="13"/>
      <c r="D144" s="13"/>
    </row>
    <row r="145" spans="2:13" x14ac:dyDescent="0.25">
      <c r="B145" s="217" t="s">
        <v>401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9"/>
    </row>
    <row r="146" spans="2:13" x14ac:dyDescent="0.25">
      <c r="B146" s="3" t="s">
        <v>402</v>
      </c>
      <c r="C146" s="232" t="s">
        <v>403</v>
      </c>
      <c r="D146" s="232"/>
      <c r="E146" s="232" t="s">
        <v>467</v>
      </c>
      <c r="F146" s="232"/>
      <c r="G146" s="232" t="s">
        <v>405</v>
      </c>
      <c r="H146" s="232"/>
      <c r="I146" s="232" t="s">
        <v>406</v>
      </c>
      <c r="J146" s="232"/>
      <c r="K146" s="234" t="s">
        <v>468</v>
      </c>
      <c r="L146" s="235"/>
      <c r="M146" s="236"/>
    </row>
    <row r="147" spans="2:13" ht="15.75" thickBot="1" x14ac:dyDescent="0.3">
      <c r="B147" s="5">
        <v>0.16189999999999999</v>
      </c>
      <c r="C147" s="237">
        <v>0.67</v>
      </c>
      <c r="D147" s="238"/>
      <c r="E147" s="239"/>
      <c r="F147" s="238"/>
      <c r="G147" s="240">
        <v>3.2856999999999997E-2</v>
      </c>
      <c r="H147" s="240"/>
      <c r="I147" s="241"/>
      <c r="J147" s="241"/>
      <c r="K147" s="242"/>
      <c r="L147" s="243"/>
      <c r="M147" s="244"/>
    </row>
    <row r="148" spans="2:13" x14ac:dyDescent="0.25">
      <c r="B148" s="1"/>
      <c r="C148" s="1"/>
      <c r="D148" s="1"/>
      <c r="E148" s="1"/>
      <c r="F148" s="1"/>
      <c r="G148" s="1"/>
      <c r="H148" s="1"/>
    </row>
    <row r="149" spans="2:13" x14ac:dyDescent="0.25">
      <c r="B149" s="382" t="s">
        <v>408</v>
      </c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4"/>
    </row>
    <row r="150" spans="2:13" x14ac:dyDescent="0.25">
      <c r="B150" s="122" t="s">
        <v>5295</v>
      </c>
      <c r="C150" s="220" t="s">
        <v>3114</v>
      </c>
      <c r="D150" s="220"/>
      <c r="E150" s="385" t="s">
        <v>3056</v>
      </c>
      <c r="F150" s="385"/>
      <c r="G150" s="385" t="s">
        <v>5296</v>
      </c>
      <c r="H150" s="385"/>
      <c r="I150" s="220" t="s">
        <v>5297</v>
      </c>
      <c r="J150" s="220"/>
      <c r="K150" s="220" t="s">
        <v>5298</v>
      </c>
      <c r="L150" s="220"/>
      <c r="M150" s="222"/>
    </row>
    <row r="151" spans="2:13" x14ac:dyDescent="0.25">
      <c r="B151" s="123" t="s">
        <v>694</v>
      </c>
      <c r="C151" s="225" t="s">
        <v>5299</v>
      </c>
      <c r="D151" s="226"/>
      <c r="E151" s="223" t="s">
        <v>5300</v>
      </c>
      <c r="F151" s="223"/>
      <c r="G151" s="223" t="s">
        <v>4647</v>
      </c>
      <c r="H151" s="223"/>
      <c r="I151" s="223" t="s">
        <v>569</v>
      </c>
      <c r="J151" s="223"/>
      <c r="K151" s="223" t="s">
        <v>5301</v>
      </c>
      <c r="L151" s="223"/>
      <c r="M151" s="224"/>
    </row>
    <row r="152" spans="2:13" x14ac:dyDescent="0.25">
      <c r="B152" s="123" t="s">
        <v>5302</v>
      </c>
      <c r="C152" s="225" t="s">
        <v>422</v>
      </c>
      <c r="D152" s="226"/>
      <c r="E152" s="227" t="s">
        <v>5303</v>
      </c>
      <c r="F152" s="227"/>
      <c r="G152" s="223" t="s">
        <v>5304</v>
      </c>
      <c r="H152" s="223"/>
      <c r="I152" s="223" t="s">
        <v>5305</v>
      </c>
      <c r="J152" s="223"/>
      <c r="K152" s="223" t="s">
        <v>575</v>
      </c>
      <c r="L152" s="223"/>
      <c r="M152" s="224"/>
    </row>
    <row r="154" spans="2:13" ht="23.25" x14ac:dyDescent="0.35">
      <c r="B154" s="29" t="s">
        <v>334</v>
      </c>
      <c r="C154" s="229" t="s">
        <v>244</v>
      </c>
      <c r="D154" s="229"/>
      <c r="E154" s="229"/>
      <c r="F154" s="229"/>
      <c r="G154" s="229"/>
      <c r="H154" s="229"/>
      <c r="I154" s="229"/>
    </row>
    <row r="155" spans="2:13" ht="18.75" x14ac:dyDescent="0.3">
      <c r="B155" s="12" t="s">
        <v>335</v>
      </c>
      <c r="C155" s="1" t="s">
        <v>3949</v>
      </c>
      <c r="F155" s="228" t="s">
        <v>427</v>
      </c>
      <c r="G155" s="228"/>
      <c r="H155" s="1" t="s">
        <v>5306</v>
      </c>
      <c r="L155" s="12" t="s">
        <v>339</v>
      </c>
      <c r="M155" s="6" t="s">
        <v>5307</v>
      </c>
    </row>
    <row r="157" spans="2:13" x14ac:dyDescent="0.25">
      <c r="B157" s="2" t="s">
        <v>341</v>
      </c>
      <c r="C157" s="250" t="s">
        <v>3741</v>
      </c>
      <c r="D157" s="250"/>
      <c r="E157" s="250" t="s">
        <v>4382</v>
      </c>
      <c r="F157" s="250"/>
      <c r="G157" s="228" t="s">
        <v>345</v>
      </c>
      <c r="H157" s="228"/>
      <c r="I157" s="228"/>
      <c r="J157" s="228"/>
      <c r="K157" s="228"/>
      <c r="L157" s="228"/>
      <c r="M157" s="228"/>
    </row>
    <row r="158" spans="2:13" x14ac:dyDescent="0.25">
      <c r="C158" s="1"/>
      <c r="D158" s="1"/>
      <c r="E158" s="1"/>
      <c r="F158" s="1"/>
    </row>
    <row r="159" spans="2:13" x14ac:dyDescent="0.25">
      <c r="B159" s="11" t="s">
        <v>652</v>
      </c>
      <c r="C159" s="230" t="s">
        <v>1443</v>
      </c>
      <c r="D159" s="230"/>
      <c r="E159" s="230" t="s">
        <v>1445</v>
      </c>
      <c r="F159" s="230"/>
      <c r="G159" s="14" t="s">
        <v>5308</v>
      </c>
      <c r="H159" s="14"/>
      <c r="I159" s="14"/>
      <c r="J159" s="14"/>
    </row>
    <row r="160" spans="2:13" x14ac:dyDescent="0.25">
      <c r="B160" s="11"/>
      <c r="C160" s="185"/>
      <c r="D160" s="185"/>
      <c r="E160" s="185"/>
      <c r="F160" s="185"/>
      <c r="G160" s="14" t="s">
        <v>5309</v>
      </c>
      <c r="H160" s="14"/>
      <c r="I160" s="14"/>
      <c r="J160" s="14"/>
    </row>
    <row r="161" spans="2:10" x14ac:dyDescent="0.25">
      <c r="B161" s="1" t="s">
        <v>5310</v>
      </c>
      <c r="C161" s="296" t="s">
        <v>1109</v>
      </c>
      <c r="D161" s="296"/>
      <c r="E161" s="296" t="s">
        <v>5311</v>
      </c>
      <c r="F161" s="296"/>
      <c r="G161" s="14" t="s">
        <v>5312</v>
      </c>
      <c r="H161" s="14"/>
      <c r="I161" s="14"/>
      <c r="J161" s="14"/>
    </row>
    <row r="162" spans="2:10" x14ac:dyDescent="0.25">
      <c r="B162" s="1" t="s">
        <v>5313</v>
      </c>
      <c r="C162" s="283" t="s">
        <v>398</v>
      </c>
      <c r="D162" s="283"/>
      <c r="E162" s="283" t="s">
        <v>5314</v>
      </c>
      <c r="F162" s="283"/>
      <c r="G162" s="14" t="s">
        <v>5315</v>
      </c>
      <c r="H162" s="14"/>
      <c r="I162" s="14"/>
      <c r="J162" s="14"/>
    </row>
    <row r="163" spans="2:10" x14ac:dyDescent="0.25">
      <c r="B163" s="11" t="s">
        <v>660</v>
      </c>
      <c r="C163" s="230" t="s">
        <v>391</v>
      </c>
      <c r="D163" s="230"/>
      <c r="E163" s="231" t="s">
        <v>374</v>
      </c>
      <c r="F163" s="231"/>
      <c r="G163" s="14" t="s">
        <v>5316</v>
      </c>
      <c r="H163" s="14"/>
      <c r="I163" s="14"/>
      <c r="J163" s="14"/>
    </row>
    <row r="164" spans="2:10" x14ac:dyDescent="0.25">
      <c r="B164" s="11"/>
      <c r="C164" s="185"/>
      <c r="D164" s="185"/>
      <c r="E164" s="185"/>
      <c r="F164" s="185"/>
      <c r="G164" s="14" t="s">
        <v>5317</v>
      </c>
    </row>
    <row r="165" spans="2:10" x14ac:dyDescent="0.25">
      <c r="B165" s="1" t="s">
        <v>1840</v>
      </c>
      <c r="C165" s="296" t="s">
        <v>881</v>
      </c>
      <c r="D165" s="296"/>
      <c r="E165" s="296" t="s">
        <v>678</v>
      </c>
      <c r="F165" s="296"/>
      <c r="G165" s="14" t="s">
        <v>5318</v>
      </c>
      <c r="H165" s="14"/>
      <c r="I165" s="14"/>
      <c r="J165" s="14"/>
    </row>
    <row r="166" spans="2:10" x14ac:dyDescent="0.25">
      <c r="B166" s="1"/>
      <c r="C166" s="195"/>
      <c r="D166" s="195"/>
      <c r="E166" s="195"/>
      <c r="F166" s="195"/>
      <c r="G166" s="14" t="s">
        <v>5319</v>
      </c>
      <c r="H166" s="14"/>
      <c r="I166" s="14"/>
      <c r="J166" s="14"/>
    </row>
    <row r="167" spans="2:10" x14ac:dyDescent="0.25">
      <c r="B167" s="11" t="s">
        <v>518</v>
      </c>
      <c r="C167" s="230" t="s">
        <v>1295</v>
      </c>
      <c r="D167" s="230"/>
      <c r="E167" s="230" t="s">
        <v>1127</v>
      </c>
      <c r="F167" s="230"/>
      <c r="G167" s="14" t="s">
        <v>5320</v>
      </c>
    </row>
    <row r="168" spans="2:10" x14ac:dyDescent="0.25">
      <c r="B168" s="11"/>
      <c r="C168" s="185"/>
      <c r="D168" s="185"/>
      <c r="E168" s="185"/>
      <c r="F168" s="185"/>
      <c r="G168" s="14"/>
      <c r="H168" s="14"/>
      <c r="I168" s="14"/>
    </row>
    <row r="169" spans="2:10" x14ac:dyDescent="0.25">
      <c r="B169" s="1" t="s">
        <v>5321</v>
      </c>
      <c r="C169" s="296" t="s">
        <v>524</v>
      </c>
      <c r="D169" s="296"/>
      <c r="E169" s="296" t="s">
        <v>786</v>
      </c>
      <c r="F169" s="296"/>
      <c r="G169" s="14"/>
      <c r="H169" s="14"/>
      <c r="I169" s="14"/>
    </row>
    <row r="170" spans="2:10" x14ac:dyDescent="0.25">
      <c r="B170" s="1" t="s">
        <v>2170</v>
      </c>
      <c r="C170" s="283" t="s">
        <v>437</v>
      </c>
      <c r="D170" s="283"/>
      <c r="E170" s="283" t="s">
        <v>438</v>
      </c>
      <c r="F170" s="283"/>
      <c r="G170" s="14"/>
      <c r="H170" s="14"/>
      <c r="I170" s="14"/>
      <c r="J170" s="14"/>
    </row>
    <row r="171" spans="2:10" x14ac:dyDescent="0.25">
      <c r="B171" s="11" t="s">
        <v>5322</v>
      </c>
      <c r="C171" s="230" t="s">
        <v>1109</v>
      </c>
      <c r="D171" s="230"/>
      <c r="E171" s="230" t="s">
        <v>5311</v>
      </c>
      <c r="F171" s="230"/>
      <c r="G171" s="14"/>
    </row>
    <row r="172" spans="2:10" x14ac:dyDescent="0.25">
      <c r="B172" s="11" t="s">
        <v>5323</v>
      </c>
      <c r="C172" s="185"/>
      <c r="D172" s="185"/>
      <c r="E172" s="185"/>
      <c r="F172" s="185"/>
    </row>
    <row r="173" spans="2:10" x14ac:dyDescent="0.25">
      <c r="B173" s="1" t="s">
        <v>677</v>
      </c>
      <c r="C173" s="296" t="s">
        <v>390</v>
      </c>
      <c r="D173" s="296"/>
      <c r="E173" s="296" t="s">
        <v>392</v>
      </c>
      <c r="F173" s="296"/>
    </row>
    <row r="174" spans="2:10" x14ac:dyDescent="0.25">
      <c r="B174" s="1"/>
      <c r="C174" s="195"/>
      <c r="D174" s="195"/>
      <c r="E174" s="195"/>
      <c r="F174" s="195"/>
      <c r="G174" s="14"/>
    </row>
    <row r="175" spans="2:10" x14ac:dyDescent="0.25">
      <c r="B175" s="11" t="s">
        <v>1854</v>
      </c>
      <c r="C175" s="230" t="s">
        <v>1194</v>
      </c>
      <c r="D175" s="230"/>
      <c r="E175" s="230" t="s">
        <v>5324</v>
      </c>
      <c r="F175" s="230"/>
    </row>
    <row r="176" spans="2:10" x14ac:dyDescent="0.25">
      <c r="B176" s="11" t="s">
        <v>5325</v>
      </c>
      <c r="C176" s="11"/>
      <c r="D176" s="11"/>
      <c r="E176" s="11"/>
      <c r="F176" s="11"/>
    </row>
    <row r="177" spans="2:15" x14ac:dyDescent="0.25">
      <c r="B177" s="1" t="s">
        <v>5326</v>
      </c>
      <c r="C177" s="283" t="s">
        <v>5327</v>
      </c>
      <c r="D177" s="283"/>
      <c r="E177" s="253" t="s">
        <v>5328</v>
      </c>
      <c r="F177" s="253"/>
    </row>
    <row r="178" spans="2:15" ht="15.75" thickBot="1" x14ac:dyDescent="0.3">
      <c r="B178" s="1" t="s">
        <v>5329</v>
      </c>
      <c r="C178" s="189"/>
      <c r="D178" s="189"/>
      <c r="E178" s="1"/>
      <c r="F178" s="1"/>
    </row>
    <row r="179" spans="2:15" x14ac:dyDescent="0.25">
      <c r="B179" s="217" t="s">
        <v>401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9"/>
    </row>
    <row r="180" spans="2:15" x14ac:dyDescent="0.25">
      <c r="B180" s="3" t="s">
        <v>402</v>
      </c>
      <c r="C180" s="232" t="s">
        <v>403</v>
      </c>
      <c r="D180" s="232"/>
      <c r="E180" s="232" t="s">
        <v>467</v>
      </c>
      <c r="F180" s="232"/>
      <c r="G180" s="232" t="s">
        <v>405</v>
      </c>
      <c r="H180" s="232"/>
      <c r="I180" s="232" t="s">
        <v>406</v>
      </c>
      <c r="J180" s="232"/>
      <c r="K180" s="234" t="s">
        <v>468</v>
      </c>
      <c r="L180" s="235"/>
      <c r="M180" s="236"/>
    </row>
    <row r="181" spans="2:15" ht="15.75" thickBot="1" x14ac:dyDescent="0.3">
      <c r="B181" s="5">
        <v>0.45</v>
      </c>
      <c r="C181" s="237">
        <v>1.65</v>
      </c>
      <c r="D181" s="238"/>
      <c r="E181" s="239"/>
      <c r="F181" s="238"/>
      <c r="G181" s="240"/>
      <c r="H181" s="240"/>
      <c r="I181" s="241"/>
      <c r="J181" s="241"/>
      <c r="K181" s="242"/>
      <c r="L181" s="243"/>
      <c r="M181" s="244"/>
    </row>
    <row r="182" spans="2:15" x14ac:dyDescent="0.25">
      <c r="B182" s="1"/>
      <c r="C182" s="1"/>
      <c r="D182" s="1"/>
      <c r="E182" s="1"/>
      <c r="F182" s="1"/>
      <c r="G182" s="1"/>
      <c r="H182" s="1"/>
    </row>
    <row r="183" spans="2:15" x14ac:dyDescent="0.25">
      <c r="B183" s="217" t="s">
        <v>408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9"/>
    </row>
    <row r="184" spans="2:15" x14ac:dyDescent="0.25">
      <c r="B184" s="122" t="s">
        <v>3795</v>
      </c>
      <c r="C184" s="220" t="s">
        <v>5330</v>
      </c>
      <c r="D184" s="220"/>
      <c r="E184" s="221" t="s">
        <v>5331</v>
      </c>
      <c r="F184" s="221"/>
      <c r="G184" s="221" t="s">
        <v>5332</v>
      </c>
      <c r="H184" s="221"/>
      <c r="I184" s="220" t="s">
        <v>5333</v>
      </c>
      <c r="J184" s="220"/>
      <c r="K184" s="220" t="s">
        <v>5084</v>
      </c>
      <c r="L184" s="220"/>
      <c r="M184" s="222"/>
    </row>
    <row r="185" spans="2:15" x14ac:dyDescent="0.25">
      <c r="B185" s="123" t="s">
        <v>915</v>
      </c>
      <c r="C185" s="225" t="s">
        <v>916</v>
      </c>
      <c r="D185" s="226"/>
      <c r="E185" s="227" t="s">
        <v>5334</v>
      </c>
      <c r="F185" s="227"/>
      <c r="G185" s="223" t="s">
        <v>4280</v>
      </c>
      <c r="H185" s="223"/>
      <c r="I185" s="227" t="s">
        <v>5258</v>
      </c>
      <c r="J185" s="227"/>
      <c r="K185" s="223" t="s">
        <v>5335</v>
      </c>
      <c r="L185" s="223"/>
      <c r="M185" s="224"/>
    </row>
    <row r="186" spans="2:15" x14ac:dyDescent="0.25">
      <c r="B186" s="123" t="s">
        <v>939</v>
      </c>
      <c r="C186" s="286" t="s">
        <v>5260</v>
      </c>
      <c r="D186" s="287"/>
      <c r="E186" s="227" t="s">
        <v>5336</v>
      </c>
      <c r="F186" s="227"/>
      <c r="G186" s="223" t="s">
        <v>648</v>
      </c>
      <c r="H186" s="223"/>
      <c r="I186" s="223" t="s">
        <v>5212</v>
      </c>
      <c r="J186" s="223"/>
      <c r="K186" s="223" t="s">
        <v>575</v>
      </c>
      <c r="L186" s="223"/>
      <c r="M186" s="224"/>
    </row>
    <row r="188" spans="2:15" ht="23.25" x14ac:dyDescent="0.35">
      <c r="B188" s="29" t="s">
        <v>334</v>
      </c>
      <c r="C188" s="295" t="s">
        <v>241</v>
      </c>
      <c r="D188" s="295"/>
      <c r="E188" s="295"/>
      <c r="F188" s="295"/>
      <c r="G188" s="295"/>
      <c r="H188" s="295"/>
      <c r="I188" s="295"/>
    </row>
    <row r="189" spans="2:15" ht="18.75" x14ac:dyDescent="0.3">
      <c r="B189" s="12" t="s">
        <v>335</v>
      </c>
      <c r="C189" s="1" t="s">
        <v>3949</v>
      </c>
      <c r="F189" s="228" t="s">
        <v>427</v>
      </c>
      <c r="G189" s="228"/>
      <c r="H189" s="1" t="s">
        <v>5337</v>
      </c>
      <c r="L189" s="12" t="s">
        <v>339</v>
      </c>
      <c r="M189" s="6" t="s">
        <v>5338</v>
      </c>
    </row>
    <row r="191" spans="2:15" x14ac:dyDescent="0.25">
      <c r="B191" s="2" t="s">
        <v>341</v>
      </c>
      <c r="C191" s="250" t="s">
        <v>5339</v>
      </c>
      <c r="D191" s="250"/>
      <c r="E191" s="250" t="s">
        <v>5340</v>
      </c>
      <c r="F191" s="250"/>
      <c r="G191" s="228" t="s">
        <v>345</v>
      </c>
      <c r="H191" s="228"/>
      <c r="I191" s="228"/>
      <c r="J191" s="228"/>
      <c r="K191" s="228"/>
      <c r="L191" s="228"/>
      <c r="M191" s="228"/>
      <c r="O191" s="101" t="s">
        <v>732</v>
      </c>
    </row>
    <row r="192" spans="2:15" x14ac:dyDescent="0.25">
      <c r="C192" s="1"/>
      <c r="D192" s="1"/>
      <c r="E192" s="1"/>
      <c r="F192" s="1"/>
    </row>
    <row r="193" spans="2:15" x14ac:dyDescent="0.25">
      <c r="B193" s="11" t="s">
        <v>652</v>
      </c>
      <c r="C193" s="230" t="s">
        <v>602</v>
      </c>
      <c r="D193" s="230"/>
      <c r="E193" s="230" t="s">
        <v>603</v>
      </c>
      <c r="F193" s="230"/>
      <c r="G193" s="14" t="s">
        <v>5341</v>
      </c>
      <c r="H193" s="14"/>
      <c r="I193" s="14"/>
      <c r="J193" s="14"/>
      <c r="O193" s="98">
        <v>0.01</v>
      </c>
    </row>
    <row r="194" spans="2:15" x14ac:dyDescent="0.25">
      <c r="B194" s="11"/>
      <c r="C194" s="185"/>
      <c r="D194" s="185"/>
      <c r="E194" s="185"/>
      <c r="F194" s="185"/>
      <c r="G194" s="14" t="s">
        <v>5342</v>
      </c>
      <c r="H194" s="14"/>
      <c r="I194" s="14"/>
      <c r="J194" s="14"/>
    </row>
    <row r="195" spans="2:15" x14ac:dyDescent="0.25">
      <c r="B195" s="1" t="s">
        <v>1946</v>
      </c>
      <c r="C195" s="296" t="s">
        <v>789</v>
      </c>
      <c r="D195" s="296"/>
      <c r="E195" s="296" t="s">
        <v>1497</v>
      </c>
      <c r="F195" s="296"/>
      <c r="G195" s="14" t="s">
        <v>5343</v>
      </c>
      <c r="H195" s="14"/>
      <c r="I195" s="14"/>
      <c r="J195" s="14"/>
      <c r="O195" s="98">
        <v>5.0000000000000001E-3</v>
      </c>
    </row>
    <row r="196" spans="2:15" x14ac:dyDescent="0.25">
      <c r="B196" s="1"/>
      <c r="C196" s="283"/>
      <c r="D196" s="283"/>
      <c r="E196" s="283"/>
      <c r="F196" s="283"/>
      <c r="G196" s="14" t="s">
        <v>5344</v>
      </c>
      <c r="H196" s="14"/>
      <c r="I196" s="14"/>
      <c r="J196" s="14"/>
    </row>
    <row r="197" spans="2:15" x14ac:dyDescent="0.25">
      <c r="B197" s="11" t="s">
        <v>1840</v>
      </c>
      <c r="C197" s="231" t="s">
        <v>487</v>
      </c>
      <c r="D197" s="231"/>
      <c r="E197" s="231" t="s">
        <v>972</v>
      </c>
      <c r="F197" s="231"/>
      <c r="G197" s="14" t="s">
        <v>5345</v>
      </c>
      <c r="H197" s="14"/>
      <c r="I197" s="14"/>
      <c r="J197" s="14"/>
      <c r="O197" s="98">
        <v>7.5999999999999998E-2</v>
      </c>
    </row>
    <row r="198" spans="2:15" x14ac:dyDescent="0.25">
      <c r="B198" s="11"/>
      <c r="C198" s="185"/>
      <c r="D198" s="185"/>
      <c r="E198" s="185"/>
      <c r="F198" s="185"/>
      <c r="G198" s="14" t="s">
        <v>5346</v>
      </c>
    </row>
    <row r="199" spans="2:15" x14ac:dyDescent="0.25">
      <c r="B199" s="1" t="s">
        <v>5347</v>
      </c>
      <c r="C199" s="296" t="s">
        <v>513</v>
      </c>
      <c r="D199" s="296"/>
      <c r="E199" s="296" t="s">
        <v>517</v>
      </c>
      <c r="F199" s="296"/>
      <c r="G199" s="14" t="s">
        <v>5348</v>
      </c>
      <c r="H199" s="14"/>
      <c r="I199" s="14"/>
      <c r="J199" s="14"/>
      <c r="O199" s="103">
        <v>4.0000000000000002E-4</v>
      </c>
    </row>
    <row r="200" spans="2:15" x14ac:dyDescent="0.25">
      <c r="B200" s="1" t="s">
        <v>5349</v>
      </c>
      <c r="C200" s="195"/>
      <c r="D200" s="195"/>
      <c r="E200" s="195"/>
      <c r="F200" s="195"/>
      <c r="G200" s="14" t="s">
        <v>5350</v>
      </c>
      <c r="H200" s="14"/>
      <c r="I200" s="14"/>
      <c r="J200" s="14"/>
    </row>
    <row r="201" spans="2:15" x14ac:dyDescent="0.25">
      <c r="B201" s="11" t="s">
        <v>518</v>
      </c>
      <c r="C201" s="230" t="s">
        <v>513</v>
      </c>
      <c r="D201" s="230"/>
      <c r="E201" s="230" t="s">
        <v>517</v>
      </c>
      <c r="F201" s="230"/>
      <c r="G201" s="14" t="s">
        <v>5351</v>
      </c>
      <c r="O201" s="103">
        <v>1.3999999999999999E-4</v>
      </c>
    </row>
    <row r="202" spans="2:15" x14ac:dyDescent="0.25">
      <c r="B202" s="11"/>
      <c r="C202" s="185"/>
      <c r="D202" s="185"/>
      <c r="E202" s="185"/>
      <c r="F202" s="185"/>
      <c r="G202" s="14" t="s">
        <v>5352</v>
      </c>
      <c r="H202" s="14"/>
      <c r="I202" s="14"/>
    </row>
    <row r="203" spans="2:15" x14ac:dyDescent="0.25">
      <c r="B203" s="1" t="s">
        <v>5353</v>
      </c>
      <c r="C203" s="296" t="s">
        <v>789</v>
      </c>
      <c r="D203" s="296"/>
      <c r="E203" s="296" t="s">
        <v>1497</v>
      </c>
      <c r="F203" s="296"/>
      <c r="G203" s="14"/>
      <c r="H203" s="14"/>
      <c r="I203" s="14"/>
      <c r="O203" s="98">
        <v>3.5999999999999997E-2</v>
      </c>
    </row>
    <row r="204" spans="2:15" x14ac:dyDescent="0.25">
      <c r="B204" s="1"/>
      <c r="C204" s="283"/>
      <c r="D204" s="283"/>
      <c r="E204" s="283"/>
      <c r="F204" s="283"/>
      <c r="G204" s="14"/>
      <c r="H204" s="14"/>
      <c r="I204" s="14"/>
      <c r="J204" s="14"/>
    </row>
    <row r="205" spans="2:15" x14ac:dyDescent="0.25">
      <c r="B205" s="11" t="s">
        <v>5354</v>
      </c>
      <c r="C205" s="230" t="s">
        <v>1194</v>
      </c>
      <c r="D205" s="230"/>
      <c r="E205" s="230" t="s">
        <v>602</v>
      </c>
      <c r="F205" s="230"/>
      <c r="G205" s="14"/>
      <c r="O205" s="99">
        <v>2.9000000000000001E-2</v>
      </c>
    </row>
    <row r="206" spans="2:15" ht="15.75" thickBot="1" x14ac:dyDescent="0.3">
      <c r="B206" s="11"/>
      <c r="C206" s="185"/>
      <c r="D206" s="185"/>
      <c r="E206" s="185"/>
      <c r="F206" s="185"/>
    </row>
    <row r="207" spans="2:15" x14ac:dyDescent="0.25">
      <c r="B207" s="217" t="s">
        <v>401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9"/>
      <c r="O207" s="100">
        <f>SUM(O193:O205)</f>
        <v>0.15653999999999998</v>
      </c>
    </row>
    <row r="208" spans="2:15" x14ac:dyDescent="0.25">
      <c r="B208" s="3" t="s">
        <v>402</v>
      </c>
      <c r="C208" s="232" t="s">
        <v>403</v>
      </c>
      <c r="D208" s="232"/>
      <c r="E208" s="232" t="s">
        <v>467</v>
      </c>
      <c r="F208" s="232"/>
      <c r="G208" s="232" t="s">
        <v>405</v>
      </c>
      <c r="H208" s="232"/>
      <c r="I208" s="232" t="s">
        <v>406</v>
      </c>
      <c r="J208" s="232"/>
      <c r="K208" s="234" t="s">
        <v>468</v>
      </c>
      <c r="L208" s="235"/>
      <c r="M208" s="236"/>
    </row>
    <row r="209" spans="2:13" ht="15.75" thickBot="1" x14ac:dyDescent="0.3">
      <c r="B209" s="5"/>
      <c r="C209" s="237">
        <v>1.4</v>
      </c>
      <c r="D209" s="238"/>
      <c r="E209" s="239"/>
      <c r="F209" s="238"/>
      <c r="G209" s="240"/>
      <c r="H209" s="240"/>
      <c r="I209" s="241"/>
      <c r="J209" s="241"/>
      <c r="K209" s="242"/>
      <c r="L209" s="243"/>
      <c r="M209" s="244"/>
    </row>
    <row r="210" spans="2:13" x14ac:dyDescent="0.25">
      <c r="B210" s="1"/>
      <c r="C210" s="1"/>
      <c r="D210" s="1"/>
      <c r="E210" s="1"/>
      <c r="F210" s="1"/>
      <c r="G210" s="1"/>
      <c r="H210" s="1"/>
    </row>
    <row r="211" spans="2:13" x14ac:dyDescent="0.25">
      <c r="B211" s="217" t="s">
        <v>408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9"/>
    </row>
    <row r="212" spans="2:13" x14ac:dyDescent="0.25">
      <c r="B212" s="122" t="s">
        <v>5355</v>
      </c>
      <c r="C212" s="220" t="s">
        <v>3202</v>
      </c>
      <c r="D212" s="220"/>
      <c r="E212" s="221" t="s">
        <v>5356</v>
      </c>
      <c r="F212" s="221"/>
      <c r="G212" s="221" t="s">
        <v>5332</v>
      </c>
      <c r="H212" s="221"/>
      <c r="I212" s="220" t="s">
        <v>5357</v>
      </c>
      <c r="J212" s="220"/>
      <c r="K212" s="220" t="s">
        <v>5358</v>
      </c>
      <c r="L212" s="220"/>
      <c r="M212" s="222"/>
    </row>
    <row r="213" spans="2:13" x14ac:dyDescent="0.25">
      <c r="B213" s="123" t="s">
        <v>3568</v>
      </c>
      <c r="C213" s="225" t="s">
        <v>3659</v>
      </c>
      <c r="D213" s="226"/>
      <c r="E213" s="227" t="s">
        <v>5359</v>
      </c>
      <c r="F213" s="227"/>
      <c r="G213" s="223" t="s">
        <v>5360</v>
      </c>
      <c r="H213" s="223"/>
      <c r="I213" s="227" t="s">
        <v>569</v>
      </c>
      <c r="J213" s="227"/>
      <c r="K213" s="223" t="s">
        <v>5361</v>
      </c>
      <c r="L213" s="223"/>
      <c r="M213" s="224"/>
    </row>
    <row r="214" spans="2:13" x14ac:dyDescent="0.25">
      <c r="B214" s="123" t="s">
        <v>5362</v>
      </c>
      <c r="C214" s="286" t="s">
        <v>2307</v>
      </c>
      <c r="D214" s="287"/>
      <c r="E214" s="227" t="s">
        <v>5363</v>
      </c>
      <c r="F214" s="227"/>
      <c r="G214" s="223" t="s">
        <v>1484</v>
      </c>
      <c r="H214" s="223"/>
      <c r="I214" s="223" t="s">
        <v>5212</v>
      </c>
      <c r="J214" s="223"/>
      <c r="K214" s="223" t="s">
        <v>575</v>
      </c>
      <c r="L214" s="223"/>
      <c r="M214" s="224"/>
    </row>
    <row r="216" spans="2:13" ht="23.25" x14ac:dyDescent="0.35">
      <c r="B216" s="29" t="s">
        <v>334</v>
      </c>
      <c r="C216" s="229" t="s">
        <v>5364</v>
      </c>
      <c r="D216" s="229"/>
      <c r="E216" s="229"/>
      <c r="F216" s="229"/>
      <c r="G216" s="229"/>
      <c r="H216" s="229"/>
    </row>
    <row r="217" spans="2:13" ht="18" x14ac:dyDescent="0.25">
      <c r="B217" s="12" t="s">
        <v>335</v>
      </c>
      <c r="C217" s="1" t="s">
        <v>3949</v>
      </c>
      <c r="F217" s="228" t="s">
        <v>427</v>
      </c>
      <c r="G217" s="228"/>
      <c r="H217" s="1" t="s">
        <v>3772</v>
      </c>
      <c r="L217" s="12" t="s">
        <v>339</v>
      </c>
      <c r="M217" s="78" t="s">
        <v>5365</v>
      </c>
    </row>
    <row r="219" spans="2:13" x14ac:dyDescent="0.25">
      <c r="B219" s="2" t="s">
        <v>341</v>
      </c>
      <c r="C219" s="250" t="s">
        <v>5366</v>
      </c>
      <c r="D219" s="250"/>
      <c r="E219" s="250" t="s">
        <v>4346</v>
      </c>
      <c r="F219" s="250"/>
      <c r="G219" s="228" t="s">
        <v>345</v>
      </c>
      <c r="H219" s="228"/>
      <c r="I219" s="228"/>
      <c r="J219" s="228"/>
      <c r="K219" s="228"/>
      <c r="L219" s="228"/>
      <c r="M219" s="228"/>
    </row>
    <row r="221" spans="2:13" x14ac:dyDescent="0.25">
      <c r="B221" s="13" t="s">
        <v>1946</v>
      </c>
      <c r="C221" s="252" t="s">
        <v>1853</v>
      </c>
      <c r="D221" s="252"/>
      <c r="E221" s="252" t="s">
        <v>399</v>
      </c>
      <c r="F221" s="252"/>
      <c r="G221" s="14" t="s">
        <v>5367</v>
      </c>
      <c r="H221" s="14"/>
    </row>
    <row r="222" spans="2:13" x14ac:dyDescent="0.25">
      <c r="B222" s="13"/>
      <c r="C222" s="188"/>
      <c r="D222" s="188"/>
      <c r="E222" s="188"/>
      <c r="F222" s="188"/>
      <c r="G222" s="14" t="s">
        <v>5368</v>
      </c>
      <c r="H222" s="14"/>
    </row>
    <row r="223" spans="2:13" x14ac:dyDescent="0.25">
      <c r="B223" s="14" t="s">
        <v>652</v>
      </c>
      <c r="C223" s="290" t="s">
        <v>2165</v>
      </c>
      <c r="D223" s="290"/>
      <c r="E223" s="290" t="s">
        <v>355</v>
      </c>
      <c r="F223" s="290"/>
      <c r="G223" s="14" t="s">
        <v>5369</v>
      </c>
      <c r="H223" s="14"/>
    </row>
    <row r="224" spans="2:13" x14ac:dyDescent="0.25">
      <c r="B224" s="14"/>
      <c r="C224" s="189"/>
      <c r="D224" s="189"/>
      <c r="E224" s="189"/>
      <c r="F224" s="189"/>
      <c r="G224" s="14" t="s">
        <v>5370</v>
      </c>
      <c r="H224" s="14"/>
    </row>
    <row r="225" spans="2:9" x14ac:dyDescent="0.25">
      <c r="B225" s="13" t="s">
        <v>1840</v>
      </c>
      <c r="C225" s="252" t="s">
        <v>657</v>
      </c>
      <c r="D225" s="252"/>
      <c r="E225" s="323" t="s">
        <v>486</v>
      </c>
      <c r="F225" s="323"/>
      <c r="G225" s="14" t="s">
        <v>5371</v>
      </c>
      <c r="H225" s="14"/>
    </row>
    <row r="226" spans="2:9" x14ac:dyDescent="0.25">
      <c r="B226" s="13"/>
      <c r="C226" s="188"/>
      <c r="D226" s="188"/>
      <c r="E226" s="188"/>
      <c r="F226" s="188"/>
      <c r="G226" s="14" t="s">
        <v>5372</v>
      </c>
      <c r="H226" s="14"/>
    </row>
    <row r="227" spans="2:9" x14ac:dyDescent="0.25">
      <c r="B227" s="14" t="s">
        <v>3906</v>
      </c>
      <c r="C227" s="290" t="s">
        <v>516</v>
      </c>
      <c r="D227" s="290"/>
      <c r="E227" s="290" t="s">
        <v>513</v>
      </c>
      <c r="F227" s="290"/>
      <c r="G227" s="14" t="s">
        <v>5373</v>
      </c>
      <c r="H227" s="14"/>
    </row>
    <row r="228" spans="2:9" x14ac:dyDescent="0.25">
      <c r="B228" s="14"/>
      <c r="C228" s="189"/>
      <c r="D228" s="189"/>
      <c r="E228" s="189"/>
      <c r="F228" s="189"/>
      <c r="G228" s="14" t="s">
        <v>5374</v>
      </c>
      <c r="H228" s="14"/>
    </row>
    <row r="229" spans="2:9" x14ac:dyDescent="0.25">
      <c r="B229" s="13" t="s">
        <v>518</v>
      </c>
      <c r="C229" s="252" t="s">
        <v>516</v>
      </c>
      <c r="D229" s="252"/>
      <c r="E229" s="252" t="s">
        <v>513</v>
      </c>
      <c r="F229" s="252"/>
      <c r="G229" s="14" t="s">
        <v>5375</v>
      </c>
    </row>
    <row r="230" spans="2:9" x14ac:dyDescent="0.25">
      <c r="B230" s="13"/>
      <c r="C230" s="188"/>
      <c r="D230" s="188"/>
      <c r="E230" s="188"/>
      <c r="F230" s="188"/>
      <c r="G230" s="14" t="s">
        <v>5376</v>
      </c>
    </row>
    <row r="231" spans="2:9" x14ac:dyDescent="0.25">
      <c r="B231" s="14" t="s">
        <v>3636</v>
      </c>
      <c r="C231" s="290" t="s">
        <v>513</v>
      </c>
      <c r="D231" s="290"/>
      <c r="E231" s="290" t="s">
        <v>4117</v>
      </c>
      <c r="F231" s="290"/>
      <c r="G231" s="14" t="s">
        <v>5377</v>
      </c>
    </row>
    <row r="232" spans="2:9" x14ac:dyDescent="0.25">
      <c r="B232" s="14"/>
      <c r="C232" s="189"/>
      <c r="D232" s="189"/>
      <c r="E232" s="189"/>
      <c r="F232" s="189"/>
      <c r="G232" s="89" t="s">
        <v>5378</v>
      </c>
    </row>
    <row r="233" spans="2:9" x14ac:dyDescent="0.25">
      <c r="B233" s="13" t="s">
        <v>3834</v>
      </c>
      <c r="C233" s="252" t="s">
        <v>3835</v>
      </c>
      <c r="D233" s="252"/>
      <c r="E233" s="252" t="s">
        <v>516</v>
      </c>
      <c r="F233" s="252"/>
      <c r="G233" s="14" t="s">
        <v>5379</v>
      </c>
    </row>
    <row r="234" spans="2:9" x14ac:dyDescent="0.25">
      <c r="B234" s="13"/>
      <c r="C234" s="188"/>
      <c r="D234" s="188"/>
      <c r="E234" s="188"/>
      <c r="F234" s="188"/>
      <c r="G234" s="14" t="s">
        <v>5380</v>
      </c>
    </row>
    <row r="235" spans="2:9" x14ac:dyDescent="0.25">
      <c r="B235" s="14" t="s">
        <v>5381</v>
      </c>
      <c r="C235" s="290" t="s">
        <v>3835</v>
      </c>
      <c r="D235" s="290"/>
      <c r="E235" s="290" t="s">
        <v>516</v>
      </c>
      <c r="F235" s="290"/>
      <c r="G235" s="14" t="s">
        <v>5382</v>
      </c>
      <c r="I235" s="14"/>
    </row>
    <row r="236" spans="2:9" x14ac:dyDescent="0.25">
      <c r="B236" s="14"/>
      <c r="C236" s="189"/>
      <c r="D236" s="189"/>
      <c r="E236" s="189"/>
      <c r="F236" s="189"/>
      <c r="G236" s="14" t="s">
        <v>5383</v>
      </c>
    </row>
    <row r="237" spans="2:9" x14ac:dyDescent="0.25">
      <c r="B237" s="13" t="s">
        <v>1723</v>
      </c>
      <c r="C237" s="252" t="s">
        <v>5384</v>
      </c>
      <c r="D237" s="252"/>
      <c r="E237" s="252" t="s">
        <v>5385</v>
      </c>
      <c r="F237" s="252"/>
      <c r="G237" s="14" t="s">
        <v>5386</v>
      </c>
    </row>
    <row r="238" spans="2:9" x14ac:dyDescent="0.25">
      <c r="B238" s="13"/>
      <c r="C238" s="13"/>
      <c r="D238" s="13"/>
      <c r="E238" s="13"/>
      <c r="F238" s="13"/>
      <c r="G238" s="14" t="s">
        <v>5387</v>
      </c>
    </row>
    <row r="239" spans="2:9" x14ac:dyDescent="0.25">
      <c r="B239" s="14" t="s">
        <v>5388</v>
      </c>
      <c r="C239" s="253" t="s">
        <v>391</v>
      </c>
      <c r="D239" s="253"/>
      <c r="E239" s="253" t="s">
        <v>374</v>
      </c>
      <c r="F239" s="253"/>
      <c r="G239" s="14" t="s">
        <v>5389</v>
      </c>
    </row>
    <row r="240" spans="2:9" x14ac:dyDescent="0.25">
      <c r="B240" s="14"/>
      <c r="C240" s="189"/>
      <c r="D240" s="189"/>
      <c r="E240" s="189"/>
      <c r="F240" s="189"/>
      <c r="G240" s="14" t="s">
        <v>5390</v>
      </c>
    </row>
    <row r="241" spans="2:13" x14ac:dyDescent="0.25">
      <c r="B241" s="13" t="s">
        <v>3962</v>
      </c>
      <c r="C241" s="252" t="s">
        <v>390</v>
      </c>
      <c r="D241" s="252"/>
      <c r="E241" s="252" t="s">
        <v>392</v>
      </c>
      <c r="F241" s="252"/>
      <c r="G241" s="14"/>
    </row>
    <row r="242" spans="2:13" x14ac:dyDescent="0.25">
      <c r="B242" s="13"/>
      <c r="C242" s="188"/>
      <c r="D242" s="188"/>
      <c r="E242" s="188"/>
      <c r="F242" s="188"/>
      <c r="G242" s="14"/>
    </row>
    <row r="243" spans="2:13" x14ac:dyDescent="0.25">
      <c r="B243" s="14" t="s">
        <v>3991</v>
      </c>
      <c r="C243" s="253" t="s">
        <v>513</v>
      </c>
      <c r="D243" s="253"/>
      <c r="E243" s="253" t="s">
        <v>4117</v>
      </c>
      <c r="F243" s="253"/>
      <c r="G243" s="14"/>
    </row>
    <row r="244" spans="2:13" x14ac:dyDescent="0.25">
      <c r="B244" s="14"/>
      <c r="C244" s="189"/>
      <c r="D244" s="189"/>
      <c r="E244" s="189"/>
      <c r="F244" s="189"/>
      <c r="G244" s="14"/>
    </row>
    <row r="245" spans="2:13" x14ac:dyDescent="0.25">
      <c r="B245" s="13" t="s">
        <v>5391</v>
      </c>
      <c r="C245" s="252" t="s">
        <v>5392</v>
      </c>
      <c r="D245" s="252"/>
      <c r="E245" s="252" t="s">
        <v>5393</v>
      </c>
      <c r="F245" s="252"/>
      <c r="G245" s="14"/>
    </row>
    <row r="246" spans="2:13" x14ac:dyDescent="0.25">
      <c r="B246" s="13"/>
      <c r="C246" s="188"/>
      <c r="D246" s="188"/>
      <c r="E246" s="188"/>
      <c r="F246" s="188"/>
      <c r="G246" s="14"/>
    </row>
    <row r="247" spans="2:13" x14ac:dyDescent="0.25">
      <c r="B247" s="14" t="s">
        <v>5394</v>
      </c>
      <c r="C247" s="370" t="s">
        <v>678</v>
      </c>
      <c r="D247" s="370"/>
      <c r="E247" s="370" t="s">
        <v>524</v>
      </c>
      <c r="F247" s="370"/>
      <c r="G247" s="14"/>
    </row>
    <row r="248" spans="2:13" ht="15.75" thickBot="1" x14ac:dyDescent="0.3">
      <c r="G248" s="15"/>
      <c r="H248" s="14"/>
    </row>
    <row r="249" spans="2:13" x14ac:dyDescent="0.25">
      <c r="B249" s="274" t="s">
        <v>401</v>
      </c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6"/>
    </row>
    <row r="250" spans="2:13" x14ac:dyDescent="0.25">
      <c r="B250" s="3" t="s">
        <v>402</v>
      </c>
      <c r="C250" s="232" t="s">
        <v>403</v>
      </c>
      <c r="D250" s="232"/>
      <c r="E250" s="233" t="s">
        <v>404</v>
      </c>
      <c r="F250" s="233"/>
      <c r="G250" s="232" t="s">
        <v>405</v>
      </c>
      <c r="H250" s="232"/>
      <c r="I250" s="232" t="s">
        <v>406</v>
      </c>
      <c r="J250" s="232"/>
      <c r="K250" s="234" t="s">
        <v>468</v>
      </c>
      <c r="L250" s="235"/>
      <c r="M250" s="236"/>
    </row>
    <row r="251" spans="2:13" ht="15.75" thickBot="1" x14ac:dyDescent="0.3">
      <c r="B251" s="5">
        <v>0.3</v>
      </c>
      <c r="C251" s="237">
        <v>1.68</v>
      </c>
      <c r="D251" s="238"/>
      <c r="E251" s="239">
        <v>0.15</v>
      </c>
      <c r="F251" s="238"/>
      <c r="G251" s="240"/>
      <c r="H251" s="240"/>
      <c r="I251" s="241"/>
      <c r="J251" s="241"/>
      <c r="K251" s="242"/>
      <c r="L251" s="243"/>
      <c r="M251" s="244"/>
    </row>
    <row r="252" spans="2:13" x14ac:dyDescent="0.25">
      <c r="B252" s="1"/>
      <c r="C252" s="1"/>
      <c r="D252" s="1"/>
      <c r="E252" s="1"/>
      <c r="F252" s="1"/>
      <c r="G252" s="1"/>
      <c r="H252" s="1"/>
    </row>
    <row r="253" spans="2:13" x14ac:dyDescent="0.25">
      <c r="B253" s="217" t="s">
        <v>408</v>
      </c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9"/>
    </row>
    <row r="254" spans="2:13" x14ac:dyDescent="0.25">
      <c r="B254" s="122" t="s">
        <v>5395</v>
      </c>
      <c r="C254" s="220" t="s">
        <v>5396</v>
      </c>
      <c r="D254" s="220"/>
      <c r="E254" s="221" t="s">
        <v>5397</v>
      </c>
      <c r="F254" s="221"/>
      <c r="G254" s="221" t="s">
        <v>5398</v>
      </c>
      <c r="H254" s="221"/>
      <c r="I254" s="220" t="s">
        <v>5399</v>
      </c>
      <c r="J254" s="220"/>
      <c r="K254" s="220" t="s">
        <v>5400</v>
      </c>
      <c r="L254" s="220"/>
      <c r="M254" s="222"/>
    </row>
    <row r="255" spans="2:13" x14ac:dyDescent="0.25">
      <c r="B255" s="123" t="s">
        <v>1061</v>
      </c>
      <c r="C255" s="225" t="s">
        <v>916</v>
      </c>
      <c r="D255" s="226"/>
      <c r="E255" s="227" t="s">
        <v>5401</v>
      </c>
      <c r="F255" s="227"/>
      <c r="G255" s="223" t="s">
        <v>3974</v>
      </c>
      <c r="H255" s="223"/>
      <c r="I255" s="227" t="s">
        <v>2517</v>
      </c>
      <c r="J255" s="227"/>
      <c r="K255" s="223" t="s">
        <v>3870</v>
      </c>
      <c r="L255" s="223"/>
      <c r="M255" s="224"/>
    </row>
    <row r="256" spans="2:13" ht="15.75" customHeight="1" x14ac:dyDescent="0.25">
      <c r="B256" s="123" t="s">
        <v>5402</v>
      </c>
      <c r="C256" s="286" t="s">
        <v>422</v>
      </c>
      <c r="D256" s="287"/>
      <c r="E256" s="227" t="s">
        <v>5403</v>
      </c>
      <c r="F256" s="227"/>
      <c r="G256" s="223" t="s">
        <v>3615</v>
      </c>
      <c r="H256" s="223"/>
      <c r="I256" s="223" t="s">
        <v>5404</v>
      </c>
      <c r="J256" s="223"/>
      <c r="K256" s="223" t="s">
        <v>575</v>
      </c>
      <c r="L256" s="223"/>
      <c r="M256" s="224"/>
    </row>
    <row r="258" spans="2:13" ht="23.25" x14ac:dyDescent="0.35">
      <c r="B258" s="29" t="s">
        <v>334</v>
      </c>
      <c r="C258" s="229" t="s">
        <v>247</v>
      </c>
      <c r="D258" s="229"/>
      <c r="E258" s="229"/>
      <c r="F258" s="229"/>
      <c r="G258" s="229"/>
      <c r="H258" s="229"/>
      <c r="I258" s="229"/>
      <c r="J258" s="229"/>
      <c r="K258" s="229"/>
    </row>
    <row r="259" spans="2:13" ht="18.75" x14ac:dyDescent="0.3">
      <c r="B259" s="12" t="s">
        <v>335</v>
      </c>
      <c r="C259" s="1" t="s">
        <v>3949</v>
      </c>
      <c r="F259" s="228" t="s">
        <v>427</v>
      </c>
      <c r="G259" s="228"/>
      <c r="H259" s="1" t="s">
        <v>5405</v>
      </c>
      <c r="L259" s="12" t="s">
        <v>339</v>
      </c>
      <c r="M259" s="6" t="s">
        <v>5406</v>
      </c>
    </row>
    <row r="261" spans="2:13" x14ac:dyDescent="0.25">
      <c r="B261" s="2" t="s">
        <v>341</v>
      </c>
      <c r="C261" s="250" t="s">
        <v>3773</v>
      </c>
      <c r="D261" s="250"/>
      <c r="E261" s="228" t="s">
        <v>345</v>
      </c>
      <c r="F261" s="228"/>
      <c r="G261" s="228"/>
      <c r="H261" s="228"/>
      <c r="I261" s="228"/>
      <c r="J261" s="228"/>
      <c r="K261" s="228"/>
      <c r="L261" s="228"/>
      <c r="M261" s="228"/>
    </row>
    <row r="263" spans="2:13" x14ac:dyDescent="0.25">
      <c r="B263" s="11" t="s">
        <v>3511</v>
      </c>
      <c r="C263" s="252" t="s">
        <v>392</v>
      </c>
      <c r="D263" s="252"/>
      <c r="E263" s="14" t="s">
        <v>5407</v>
      </c>
      <c r="F263" s="14"/>
    </row>
    <row r="264" spans="2:13" x14ac:dyDescent="0.25">
      <c r="B264" s="11"/>
      <c r="C264" s="188"/>
      <c r="D264" s="188"/>
      <c r="E264" s="14" t="s">
        <v>5408</v>
      </c>
      <c r="F264" s="14"/>
    </row>
    <row r="265" spans="2:13" x14ac:dyDescent="0.25">
      <c r="B265" s="1" t="s">
        <v>660</v>
      </c>
      <c r="C265" s="290" t="s">
        <v>391</v>
      </c>
      <c r="D265" s="290"/>
      <c r="E265" s="14" t="s">
        <v>5409</v>
      </c>
      <c r="F265" s="14"/>
    </row>
    <row r="266" spans="2:13" x14ac:dyDescent="0.25">
      <c r="B266" s="1"/>
      <c r="C266" s="189"/>
      <c r="D266" s="189"/>
      <c r="E266" s="14" t="s">
        <v>5410</v>
      </c>
      <c r="F266" s="14"/>
    </row>
    <row r="267" spans="2:13" x14ac:dyDescent="0.25">
      <c r="B267" s="11" t="s">
        <v>5411</v>
      </c>
      <c r="C267" s="252" t="s">
        <v>2708</v>
      </c>
      <c r="D267" s="252"/>
      <c r="E267" s="14" t="s">
        <v>5412</v>
      </c>
      <c r="F267" s="14"/>
    </row>
    <row r="268" spans="2:13" x14ac:dyDescent="0.25">
      <c r="B268" s="11"/>
      <c r="C268" s="188"/>
      <c r="D268" s="188"/>
      <c r="E268" s="14" t="s">
        <v>5413</v>
      </c>
      <c r="F268" s="14"/>
    </row>
    <row r="269" spans="2:13" x14ac:dyDescent="0.25">
      <c r="B269" s="1" t="s">
        <v>3906</v>
      </c>
      <c r="C269" s="290" t="s">
        <v>516</v>
      </c>
      <c r="D269" s="290"/>
      <c r="E269" s="14" t="s">
        <v>5414</v>
      </c>
      <c r="F269" s="14"/>
    </row>
    <row r="270" spans="2:13" x14ac:dyDescent="0.25">
      <c r="B270" s="1"/>
      <c r="C270" s="199"/>
      <c r="D270" s="199"/>
      <c r="E270" s="14" t="s">
        <v>5415</v>
      </c>
      <c r="F270" s="14"/>
    </row>
    <row r="271" spans="2:13" x14ac:dyDescent="0.25">
      <c r="C271" s="199"/>
      <c r="D271" s="199"/>
      <c r="E271" s="14" t="s">
        <v>5416</v>
      </c>
      <c r="F271" s="14"/>
    </row>
    <row r="272" spans="2:13" x14ac:dyDescent="0.25">
      <c r="C272" s="199"/>
      <c r="D272" s="199"/>
      <c r="E272" s="14" t="s">
        <v>5417</v>
      </c>
      <c r="F272" s="14"/>
    </row>
    <row r="273" spans="2:13" x14ac:dyDescent="0.25">
      <c r="C273" s="199"/>
      <c r="D273" s="199"/>
      <c r="E273" s="14" t="s">
        <v>5418</v>
      </c>
      <c r="F273" s="14"/>
    </row>
    <row r="274" spans="2:13" x14ac:dyDescent="0.25">
      <c r="C274" s="199"/>
      <c r="D274" s="199"/>
      <c r="E274" s="14" t="s">
        <v>5419</v>
      </c>
      <c r="F274" s="14"/>
    </row>
    <row r="275" spans="2:13" x14ac:dyDescent="0.25">
      <c r="C275" s="199"/>
      <c r="D275" s="199"/>
      <c r="E275" s="14" t="s">
        <v>5420</v>
      </c>
      <c r="F275" s="14"/>
    </row>
    <row r="276" spans="2:13" x14ac:dyDescent="0.25">
      <c r="B276" s="14"/>
      <c r="C276" s="189"/>
      <c r="D276" s="189"/>
      <c r="E276" s="14" t="s">
        <v>5421</v>
      </c>
      <c r="F276" s="14"/>
    </row>
    <row r="277" spans="2:13" x14ac:dyDescent="0.25">
      <c r="B277" s="274" t="s">
        <v>401</v>
      </c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6"/>
    </row>
    <row r="278" spans="2:13" x14ac:dyDescent="0.25">
      <c r="B278" s="3" t="s">
        <v>402</v>
      </c>
      <c r="C278" s="232" t="s">
        <v>403</v>
      </c>
      <c r="D278" s="232"/>
      <c r="E278" s="232" t="s">
        <v>467</v>
      </c>
      <c r="F278" s="232"/>
      <c r="G278" s="232" t="s">
        <v>405</v>
      </c>
      <c r="H278" s="232"/>
      <c r="I278" s="232" t="s">
        <v>406</v>
      </c>
      <c r="J278" s="232"/>
      <c r="K278" s="234" t="s">
        <v>468</v>
      </c>
      <c r="L278" s="235"/>
      <c r="M278" s="236"/>
    </row>
    <row r="279" spans="2:13" ht="15.75" thickBot="1" x14ac:dyDescent="0.3">
      <c r="B279" s="5">
        <v>0.42532999999999999</v>
      </c>
      <c r="C279" s="237"/>
      <c r="D279" s="238"/>
      <c r="E279" s="239"/>
      <c r="F279" s="238"/>
      <c r="G279" s="240"/>
      <c r="H279" s="240"/>
      <c r="I279" s="241"/>
      <c r="J279" s="241"/>
      <c r="K279" s="242"/>
      <c r="L279" s="243"/>
      <c r="M279" s="244"/>
    </row>
    <row r="280" spans="2:13" x14ac:dyDescent="0.25">
      <c r="B280" s="1"/>
      <c r="C280" s="1"/>
      <c r="D280" s="1"/>
      <c r="E280" s="1"/>
      <c r="F280" s="1"/>
      <c r="G280" s="1"/>
      <c r="H280" s="1"/>
    </row>
    <row r="281" spans="2:13" x14ac:dyDescent="0.25">
      <c r="B281" s="217" t="s">
        <v>408</v>
      </c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9"/>
    </row>
    <row r="282" spans="2:13" x14ac:dyDescent="0.25">
      <c r="B282" s="122" t="s">
        <v>5422</v>
      </c>
      <c r="C282" s="220" t="s">
        <v>3915</v>
      </c>
      <c r="D282" s="220"/>
      <c r="E282" s="221" t="s">
        <v>5397</v>
      </c>
      <c r="F282" s="221"/>
      <c r="G282" s="221" t="s">
        <v>5423</v>
      </c>
      <c r="H282" s="221"/>
      <c r="I282" s="220" t="s">
        <v>5424</v>
      </c>
      <c r="J282" s="220"/>
      <c r="K282" s="220" t="s">
        <v>5425</v>
      </c>
      <c r="L282" s="220"/>
      <c r="M282" s="222"/>
    </row>
    <row r="283" spans="2:13" x14ac:dyDescent="0.25">
      <c r="B283" s="123" t="s">
        <v>4000</v>
      </c>
      <c r="C283" s="225" t="s">
        <v>4791</v>
      </c>
      <c r="D283" s="226"/>
      <c r="E283" s="227" t="s">
        <v>5426</v>
      </c>
      <c r="F283" s="227"/>
      <c r="G283" s="223" t="s">
        <v>5427</v>
      </c>
      <c r="H283" s="223"/>
      <c r="I283" s="227" t="s">
        <v>569</v>
      </c>
      <c r="J283" s="227"/>
      <c r="K283" s="223" t="s">
        <v>5428</v>
      </c>
      <c r="L283" s="223"/>
      <c r="M283" s="224"/>
    </row>
    <row r="284" spans="2:13" ht="15.75" customHeight="1" x14ac:dyDescent="0.25">
      <c r="B284" s="123" t="s">
        <v>5103</v>
      </c>
      <c r="C284" s="286" t="s">
        <v>5429</v>
      </c>
      <c r="D284" s="287"/>
      <c r="E284" s="227" t="s">
        <v>5430</v>
      </c>
      <c r="F284" s="227"/>
      <c r="G284" s="223" t="s">
        <v>1484</v>
      </c>
      <c r="H284" s="223"/>
      <c r="I284" s="223" t="s">
        <v>5431</v>
      </c>
      <c r="J284" s="223"/>
      <c r="K284" s="223" t="s">
        <v>5432</v>
      </c>
      <c r="L284" s="223"/>
      <c r="M284" s="224"/>
    </row>
    <row r="286" spans="2:13" ht="23.25" x14ac:dyDescent="0.35">
      <c r="B286" s="29" t="s">
        <v>334</v>
      </c>
      <c r="C286" s="229" t="s">
        <v>290</v>
      </c>
      <c r="D286" s="229"/>
      <c r="E286" s="229"/>
      <c r="F286" s="229"/>
      <c r="G286" s="229"/>
      <c r="H286" s="229"/>
      <c r="I286" s="229"/>
      <c r="J286" s="229"/>
      <c r="K286" s="229"/>
    </row>
    <row r="287" spans="2:13" ht="18" x14ac:dyDescent="0.25">
      <c r="B287" s="12" t="s">
        <v>335</v>
      </c>
      <c r="C287" s="1" t="s">
        <v>3949</v>
      </c>
      <c r="F287" s="228" t="s">
        <v>427</v>
      </c>
      <c r="G287" s="228"/>
      <c r="H287" s="1" t="s">
        <v>5405</v>
      </c>
      <c r="L287" s="12" t="s">
        <v>339</v>
      </c>
      <c r="M287" s="78" t="s">
        <v>5433</v>
      </c>
    </row>
    <row r="289" spans="2:13" x14ac:dyDescent="0.25">
      <c r="B289" s="2" t="s">
        <v>341</v>
      </c>
      <c r="C289" s="216" t="s">
        <v>5434</v>
      </c>
      <c r="D289" s="216"/>
      <c r="E289" s="216" t="s">
        <v>5435</v>
      </c>
      <c r="F289" s="216"/>
      <c r="G289" s="228" t="s">
        <v>345</v>
      </c>
      <c r="H289" s="228"/>
      <c r="I289" s="228"/>
      <c r="J289" s="228"/>
      <c r="K289" s="228"/>
      <c r="L289" s="228"/>
      <c r="M289" s="228"/>
    </row>
    <row r="291" spans="2:13" x14ac:dyDescent="0.25">
      <c r="B291" s="11" t="s">
        <v>4263</v>
      </c>
      <c r="C291" s="252" t="s">
        <v>390</v>
      </c>
      <c r="D291" s="252"/>
      <c r="E291" s="252" t="s">
        <v>2165</v>
      </c>
      <c r="F291" s="252"/>
      <c r="G291" s="14" t="s">
        <v>5436</v>
      </c>
      <c r="H291" s="14"/>
    </row>
    <row r="292" spans="2:13" x14ac:dyDescent="0.25">
      <c r="B292" s="11"/>
      <c r="C292" s="188"/>
      <c r="D292" s="188"/>
      <c r="E292" s="188"/>
      <c r="F292" s="188"/>
      <c r="G292" s="14" t="s">
        <v>5437</v>
      </c>
      <c r="H292" s="14"/>
    </row>
    <row r="293" spans="2:13" x14ac:dyDescent="0.25">
      <c r="B293" s="1" t="s">
        <v>660</v>
      </c>
      <c r="C293" s="290" t="s">
        <v>390</v>
      </c>
      <c r="D293" s="290"/>
      <c r="E293" s="290" t="s">
        <v>2165</v>
      </c>
      <c r="F293" s="290"/>
      <c r="G293" s="14" t="s">
        <v>5438</v>
      </c>
      <c r="H293" s="14"/>
    </row>
    <row r="294" spans="2:13" x14ac:dyDescent="0.25">
      <c r="B294" s="1"/>
      <c r="C294" s="189"/>
      <c r="D294" s="189"/>
      <c r="E294" s="189"/>
      <c r="F294" s="189"/>
      <c r="G294" s="14" t="s">
        <v>5439</v>
      </c>
      <c r="H294" s="14"/>
    </row>
    <row r="295" spans="2:13" x14ac:dyDescent="0.25">
      <c r="B295" s="11" t="s">
        <v>1048</v>
      </c>
      <c r="C295" s="252" t="s">
        <v>390</v>
      </c>
      <c r="D295" s="252"/>
      <c r="E295" s="323" t="s">
        <v>2165</v>
      </c>
      <c r="F295" s="323"/>
      <c r="G295" s="14" t="s">
        <v>5440</v>
      </c>
      <c r="H295" s="14"/>
    </row>
    <row r="296" spans="2:13" x14ac:dyDescent="0.25">
      <c r="B296" s="11"/>
      <c r="C296" s="188"/>
      <c r="D296" s="188"/>
      <c r="E296" s="188"/>
      <c r="F296" s="188"/>
      <c r="G296" s="14" t="s">
        <v>5441</v>
      </c>
      <c r="H296" s="14"/>
    </row>
    <row r="297" spans="2:13" x14ac:dyDescent="0.25">
      <c r="B297" s="1" t="s">
        <v>450</v>
      </c>
      <c r="C297" s="290" t="s">
        <v>2708</v>
      </c>
      <c r="D297" s="290"/>
      <c r="E297" s="290" t="s">
        <v>437</v>
      </c>
      <c r="F297" s="290"/>
      <c r="G297" s="14" t="s">
        <v>5442</v>
      </c>
      <c r="H297" s="14"/>
    </row>
    <row r="298" spans="2:13" x14ac:dyDescent="0.25">
      <c r="B298" s="1"/>
      <c r="C298" s="189"/>
      <c r="D298" s="189"/>
      <c r="E298" s="189"/>
      <c r="F298" s="189"/>
      <c r="G298" s="14" t="s">
        <v>5443</v>
      </c>
      <c r="H298" s="14"/>
    </row>
    <row r="299" spans="2:13" x14ac:dyDescent="0.25">
      <c r="B299" s="11" t="s">
        <v>5444</v>
      </c>
      <c r="C299" s="252" t="s">
        <v>516</v>
      </c>
      <c r="D299" s="252"/>
      <c r="E299" s="252" t="s">
        <v>486</v>
      </c>
      <c r="F299" s="252"/>
      <c r="G299" s="14" t="s">
        <v>5445</v>
      </c>
    </row>
    <row r="300" spans="2:13" x14ac:dyDescent="0.25">
      <c r="B300" s="11"/>
      <c r="C300" s="188"/>
      <c r="D300" s="188"/>
      <c r="E300" s="188"/>
      <c r="F300" s="188"/>
      <c r="G300" s="14" t="s">
        <v>5446</v>
      </c>
    </row>
    <row r="301" spans="2:13" x14ac:dyDescent="0.25">
      <c r="B301" s="1" t="s">
        <v>652</v>
      </c>
      <c r="C301" s="290" t="s">
        <v>392</v>
      </c>
      <c r="D301" s="290"/>
      <c r="E301" s="290" t="s">
        <v>1194</v>
      </c>
      <c r="F301" s="290"/>
      <c r="G301" s="14" t="s">
        <v>5447</v>
      </c>
    </row>
    <row r="302" spans="2:13" x14ac:dyDescent="0.25">
      <c r="B302" s="1"/>
      <c r="C302" s="189"/>
      <c r="D302" s="189"/>
      <c r="E302" s="189"/>
      <c r="F302" s="189"/>
      <c r="G302" s="14" t="s">
        <v>5448</v>
      </c>
    </row>
    <row r="303" spans="2:13" x14ac:dyDescent="0.25">
      <c r="B303" s="11" t="s">
        <v>1946</v>
      </c>
      <c r="C303" s="252" t="s">
        <v>392</v>
      </c>
      <c r="D303" s="252"/>
      <c r="E303" s="252" t="s">
        <v>1194</v>
      </c>
      <c r="F303" s="252"/>
      <c r="G303" s="14"/>
    </row>
    <row r="304" spans="2:13" x14ac:dyDescent="0.25">
      <c r="B304" s="11"/>
      <c r="C304" s="188"/>
      <c r="D304" s="188"/>
      <c r="E304" s="188"/>
      <c r="F304" s="188"/>
      <c r="G304" s="14"/>
    </row>
    <row r="305" spans="2:9" x14ac:dyDescent="0.25">
      <c r="B305" s="1" t="s">
        <v>3906</v>
      </c>
      <c r="C305" s="290" t="s">
        <v>516</v>
      </c>
      <c r="D305" s="290"/>
      <c r="E305" s="290" t="s">
        <v>486</v>
      </c>
      <c r="F305" s="290"/>
      <c r="G305" s="14"/>
      <c r="I305" s="14"/>
    </row>
    <row r="306" spans="2:9" x14ac:dyDescent="0.25">
      <c r="B306" s="1"/>
      <c r="C306" s="189"/>
      <c r="D306" s="189"/>
      <c r="E306" s="189"/>
      <c r="F306" s="189"/>
      <c r="G306" s="14"/>
    </row>
    <row r="307" spans="2:9" x14ac:dyDescent="0.25">
      <c r="B307" s="11" t="s">
        <v>518</v>
      </c>
      <c r="C307" s="252" t="s">
        <v>2062</v>
      </c>
      <c r="D307" s="252"/>
      <c r="E307" s="252" t="s">
        <v>1645</v>
      </c>
      <c r="F307" s="252"/>
      <c r="G307" s="14"/>
    </row>
    <row r="308" spans="2:9" x14ac:dyDescent="0.25">
      <c r="B308" s="11"/>
      <c r="C308" s="13"/>
      <c r="D308" s="13"/>
      <c r="E308" s="13"/>
      <c r="F308" s="13"/>
      <c r="G308" s="14"/>
    </row>
    <row r="309" spans="2:9" x14ac:dyDescent="0.25">
      <c r="B309" s="1" t="s">
        <v>5449</v>
      </c>
      <c r="C309" s="253" t="s">
        <v>4962</v>
      </c>
      <c r="D309" s="253"/>
      <c r="E309" s="253" t="s">
        <v>5450</v>
      </c>
      <c r="F309" s="253"/>
      <c r="G309" s="14"/>
    </row>
    <row r="310" spans="2:9" x14ac:dyDescent="0.25">
      <c r="B310" s="1" t="s">
        <v>5451</v>
      </c>
      <c r="C310" s="189"/>
      <c r="D310" s="189"/>
      <c r="E310" s="189"/>
      <c r="F310" s="189"/>
      <c r="G310" s="14"/>
    </row>
    <row r="311" spans="2:9" x14ac:dyDescent="0.25">
      <c r="B311" s="11" t="s">
        <v>5452</v>
      </c>
      <c r="C311" s="252" t="s">
        <v>392</v>
      </c>
      <c r="D311" s="252"/>
      <c r="E311" s="252" t="s">
        <v>1194</v>
      </c>
      <c r="F311" s="252"/>
      <c r="G311" s="14"/>
    </row>
    <row r="312" spans="2:9" x14ac:dyDescent="0.25">
      <c r="B312" s="11"/>
      <c r="C312" s="188"/>
      <c r="D312" s="188"/>
      <c r="E312" s="188"/>
      <c r="F312" s="188"/>
      <c r="G312" s="14"/>
    </row>
    <row r="313" spans="2:9" x14ac:dyDescent="0.25">
      <c r="B313" s="1" t="s">
        <v>859</v>
      </c>
      <c r="C313" s="253" t="s">
        <v>486</v>
      </c>
      <c r="D313" s="253"/>
      <c r="E313" s="253" t="s">
        <v>491</v>
      </c>
      <c r="F313" s="253"/>
      <c r="G313" s="14"/>
    </row>
    <row r="314" spans="2:9" x14ac:dyDescent="0.25">
      <c r="B314" s="1"/>
      <c r="C314" s="189"/>
      <c r="D314" s="189"/>
      <c r="E314" s="189"/>
      <c r="F314" s="189"/>
      <c r="G314" s="14"/>
    </row>
    <row r="315" spans="2:9" x14ac:dyDescent="0.25">
      <c r="B315" s="11" t="s">
        <v>5453</v>
      </c>
      <c r="C315" s="252" t="s">
        <v>517</v>
      </c>
      <c r="D315" s="252"/>
      <c r="E315" s="252" t="s">
        <v>5454</v>
      </c>
      <c r="F315" s="252"/>
      <c r="G315" s="14"/>
    </row>
    <row r="316" spans="2:9" x14ac:dyDescent="0.25">
      <c r="B316" s="11"/>
      <c r="C316" s="188"/>
      <c r="D316" s="188"/>
      <c r="E316" s="188"/>
      <c r="F316" s="188"/>
      <c r="G316" s="14"/>
    </row>
    <row r="317" spans="2:9" x14ac:dyDescent="0.25">
      <c r="B317" s="1" t="s">
        <v>5444</v>
      </c>
      <c r="C317" s="370" t="s">
        <v>2062</v>
      </c>
      <c r="D317" s="370"/>
      <c r="E317" s="370" t="s">
        <v>1645</v>
      </c>
      <c r="F317" s="370"/>
      <c r="G317" s="14"/>
    </row>
    <row r="318" spans="2:9" x14ac:dyDescent="0.25">
      <c r="B318" s="1"/>
      <c r="C318" s="212"/>
      <c r="D318" s="212"/>
      <c r="E318" s="212"/>
      <c r="F318" s="212"/>
      <c r="G318" s="14"/>
    </row>
    <row r="319" spans="2:9" x14ac:dyDescent="0.25">
      <c r="B319" s="11" t="s">
        <v>5455</v>
      </c>
      <c r="C319" s="387" t="s">
        <v>508</v>
      </c>
      <c r="D319" s="387"/>
      <c r="E319" s="387" t="s">
        <v>391</v>
      </c>
      <c r="F319" s="387"/>
      <c r="G319" s="14"/>
    </row>
    <row r="320" spans="2:9" ht="15.75" thickBot="1" x14ac:dyDescent="0.3">
      <c r="B320" s="8"/>
      <c r="C320" s="8"/>
      <c r="D320" s="8"/>
      <c r="E320" s="8"/>
      <c r="F320" s="8"/>
      <c r="G320" s="15"/>
      <c r="H320" s="14"/>
    </row>
    <row r="321" spans="2:13" x14ac:dyDescent="0.25">
      <c r="B321" s="274" t="s">
        <v>401</v>
      </c>
      <c r="C321" s="275"/>
      <c r="D321" s="275"/>
      <c r="E321" s="275"/>
      <c r="F321" s="275"/>
      <c r="G321" s="275"/>
      <c r="H321" s="275"/>
      <c r="I321" s="275"/>
      <c r="J321" s="275"/>
      <c r="K321" s="275"/>
      <c r="L321" s="275"/>
      <c r="M321" s="276"/>
    </row>
    <row r="322" spans="2:13" x14ac:dyDescent="0.25">
      <c r="B322" s="3" t="s">
        <v>402</v>
      </c>
      <c r="C322" s="232" t="s">
        <v>403</v>
      </c>
      <c r="D322" s="232"/>
      <c r="E322" s="232" t="s">
        <v>467</v>
      </c>
      <c r="F322" s="232"/>
      <c r="G322" s="232" t="s">
        <v>405</v>
      </c>
      <c r="H322" s="232"/>
      <c r="I322" s="232" t="s">
        <v>406</v>
      </c>
      <c r="J322" s="232"/>
      <c r="K322" s="234" t="s">
        <v>468</v>
      </c>
      <c r="L322" s="235"/>
      <c r="M322" s="236"/>
    </row>
    <row r="323" spans="2:13" ht="15.75" thickBot="1" x14ac:dyDescent="0.3">
      <c r="B323" s="5">
        <v>3.3000000000000002E-2</v>
      </c>
      <c r="C323" s="237">
        <v>0.25</v>
      </c>
      <c r="D323" s="238"/>
      <c r="E323" s="239"/>
      <c r="F323" s="238"/>
      <c r="G323" s="240"/>
      <c r="H323" s="240"/>
      <c r="I323" s="241"/>
      <c r="J323" s="241"/>
      <c r="K323" s="242"/>
      <c r="L323" s="243"/>
      <c r="M323" s="244"/>
    </row>
    <row r="324" spans="2:13" x14ac:dyDescent="0.25">
      <c r="B324" s="1"/>
      <c r="C324" s="1"/>
      <c r="D324" s="1"/>
      <c r="E324" s="1"/>
      <c r="F324" s="1"/>
      <c r="G324" s="1"/>
      <c r="H324" s="1"/>
    </row>
    <row r="325" spans="2:13" x14ac:dyDescent="0.25">
      <c r="B325" s="217" t="s">
        <v>408</v>
      </c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9"/>
    </row>
    <row r="326" spans="2:13" x14ac:dyDescent="0.25">
      <c r="B326" s="122" t="s">
        <v>5456</v>
      </c>
      <c r="C326" s="220" t="s">
        <v>5457</v>
      </c>
      <c r="D326" s="220"/>
      <c r="E326" s="221" t="s">
        <v>411</v>
      </c>
      <c r="F326" s="221"/>
      <c r="G326" s="221" t="s">
        <v>5458</v>
      </c>
      <c r="H326" s="221"/>
      <c r="I326" s="220" t="s">
        <v>5459</v>
      </c>
      <c r="J326" s="220"/>
      <c r="K326" s="220" t="s">
        <v>5460</v>
      </c>
      <c r="L326" s="220"/>
      <c r="M326" s="222"/>
    </row>
    <row r="327" spans="2:13" x14ac:dyDescent="0.25">
      <c r="B327" s="123" t="s">
        <v>3842</v>
      </c>
      <c r="C327" s="225" t="s">
        <v>5220</v>
      </c>
      <c r="D327" s="226"/>
      <c r="E327" s="227" t="s">
        <v>5461</v>
      </c>
      <c r="F327" s="227"/>
      <c r="G327" s="223" t="s">
        <v>3739</v>
      </c>
      <c r="H327" s="223"/>
      <c r="I327" s="227" t="s">
        <v>569</v>
      </c>
      <c r="J327" s="227"/>
      <c r="K327" s="223" t="s">
        <v>5462</v>
      </c>
      <c r="L327" s="223"/>
      <c r="M327" s="224"/>
    </row>
    <row r="328" spans="2:13" x14ac:dyDescent="0.25">
      <c r="B328" s="123" t="s">
        <v>5463</v>
      </c>
      <c r="C328" s="286" t="s">
        <v>1687</v>
      </c>
      <c r="D328" s="287"/>
      <c r="E328" s="227" t="s">
        <v>5464</v>
      </c>
      <c r="F328" s="227"/>
      <c r="G328" s="223" t="s">
        <v>802</v>
      </c>
      <c r="H328" s="223"/>
      <c r="I328" s="223" t="s">
        <v>5465</v>
      </c>
      <c r="J328" s="223"/>
      <c r="K328" s="223" t="s">
        <v>5466</v>
      </c>
      <c r="L328" s="223"/>
      <c r="M328" s="224"/>
    </row>
    <row r="330" spans="2:13" ht="23.25" x14ac:dyDescent="0.35">
      <c r="B330" s="29" t="s">
        <v>334</v>
      </c>
      <c r="C330" s="229" t="s">
        <v>232</v>
      </c>
      <c r="D330" s="229"/>
      <c r="E330" s="229"/>
      <c r="F330" s="229"/>
      <c r="G330" s="229"/>
      <c r="H330" s="229"/>
      <c r="I330" s="229"/>
      <c r="J330" s="229"/>
      <c r="K330" s="229"/>
    </row>
    <row r="331" spans="2:13" ht="18" x14ac:dyDescent="0.25">
      <c r="B331" s="12" t="s">
        <v>335</v>
      </c>
      <c r="C331" s="1" t="s">
        <v>3949</v>
      </c>
      <c r="F331" s="228" t="s">
        <v>427</v>
      </c>
      <c r="G331" s="228"/>
      <c r="H331" s="1" t="s">
        <v>5467</v>
      </c>
      <c r="L331" s="12" t="s">
        <v>339</v>
      </c>
      <c r="M331" s="78" t="s">
        <v>5468</v>
      </c>
    </row>
    <row r="333" spans="2:13" x14ac:dyDescent="0.25">
      <c r="B333" s="2" t="s">
        <v>341</v>
      </c>
      <c r="C333" s="250" t="s">
        <v>430</v>
      </c>
      <c r="D333" s="250"/>
      <c r="E333" s="250" t="s">
        <v>805</v>
      </c>
      <c r="F333" s="250"/>
      <c r="G333" s="228" t="s">
        <v>345</v>
      </c>
      <c r="H333" s="228"/>
      <c r="I333" s="228"/>
      <c r="J333" s="228"/>
      <c r="K333" s="228"/>
      <c r="L333" s="228"/>
      <c r="M333" s="228"/>
    </row>
    <row r="335" spans="2:13" x14ac:dyDescent="0.25">
      <c r="B335" s="11" t="s">
        <v>1946</v>
      </c>
      <c r="C335" s="252" t="s">
        <v>3792</v>
      </c>
      <c r="D335" s="252"/>
      <c r="E335" s="252" t="s">
        <v>5469</v>
      </c>
      <c r="F335" s="252"/>
      <c r="G335" s="14" t="s">
        <v>5470</v>
      </c>
      <c r="H335" s="14"/>
    </row>
    <row r="336" spans="2:13" x14ac:dyDescent="0.25">
      <c r="B336" s="11"/>
      <c r="C336" s="188"/>
      <c r="D336" s="188"/>
      <c r="E336" s="188"/>
      <c r="F336" s="188"/>
      <c r="G336" s="14" t="s">
        <v>5471</v>
      </c>
      <c r="H336" s="14"/>
    </row>
    <row r="337" spans="2:9" x14ac:dyDescent="0.25">
      <c r="B337" s="1" t="s">
        <v>5472</v>
      </c>
      <c r="C337" s="290" t="s">
        <v>1092</v>
      </c>
      <c r="D337" s="290"/>
      <c r="E337" s="290" t="s">
        <v>5473</v>
      </c>
      <c r="F337" s="290"/>
      <c r="G337" s="14" t="s">
        <v>5474</v>
      </c>
      <c r="H337" s="14"/>
    </row>
    <row r="338" spans="2:9" x14ac:dyDescent="0.25">
      <c r="B338" s="1"/>
      <c r="C338" s="189"/>
      <c r="D338" s="189"/>
      <c r="E338" s="189"/>
      <c r="F338" s="189"/>
      <c r="G338" s="14" t="s">
        <v>5475</v>
      </c>
      <c r="H338" s="14"/>
    </row>
    <row r="339" spans="2:9" x14ac:dyDescent="0.25">
      <c r="B339" s="11" t="s">
        <v>1723</v>
      </c>
      <c r="C339" s="252" t="s">
        <v>5473</v>
      </c>
      <c r="D339" s="252"/>
      <c r="E339" s="323" t="s">
        <v>5476</v>
      </c>
      <c r="F339" s="323"/>
      <c r="G339" s="14" t="s">
        <v>5477</v>
      </c>
      <c r="H339" s="14"/>
    </row>
    <row r="340" spans="2:9" x14ac:dyDescent="0.25">
      <c r="B340" s="11"/>
      <c r="C340" s="188"/>
      <c r="D340" s="188"/>
      <c r="E340" s="188"/>
      <c r="F340" s="188"/>
      <c r="G340" s="14" t="s">
        <v>5478</v>
      </c>
      <c r="H340" s="14"/>
    </row>
    <row r="341" spans="2:9" x14ac:dyDescent="0.25">
      <c r="B341" s="1" t="s">
        <v>3727</v>
      </c>
      <c r="C341" s="290" t="s">
        <v>744</v>
      </c>
      <c r="D341" s="290"/>
      <c r="E341" s="290" t="s">
        <v>487</v>
      </c>
      <c r="F341" s="290"/>
      <c r="G341" s="14" t="s">
        <v>5479</v>
      </c>
      <c r="H341" s="14"/>
    </row>
    <row r="342" spans="2:9" x14ac:dyDescent="0.25">
      <c r="B342" s="1"/>
      <c r="C342" s="189"/>
      <c r="D342" s="189"/>
      <c r="E342" s="189"/>
      <c r="F342" s="189"/>
      <c r="G342" s="14" t="s">
        <v>5480</v>
      </c>
      <c r="H342" s="14"/>
    </row>
    <row r="343" spans="2:9" x14ac:dyDescent="0.25">
      <c r="B343" s="11" t="s">
        <v>3027</v>
      </c>
      <c r="C343" s="252" t="s">
        <v>3783</v>
      </c>
      <c r="D343" s="252"/>
      <c r="E343" s="252" t="s">
        <v>491</v>
      </c>
      <c r="F343" s="252"/>
      <c r="G343" s="14" t="s">
        <v>5481</v>
      </c>
    </row>
    <row r="344" spans="2:9" x14ac:dyDescent="0.25">
      <c r="B344" s="11"/>
      <c r="C344" s="188"/>
      <c r="D344" s="188"/>
      <c r="E344" s="188"/>
      <c r="F344" s="188"/>
      <c r="G344" s="14" t="s">
        <v>5482</v>
      </c>
    </row>
    <row r="345" spans="2:9" x14ac:dyDescent="0.25">
      <c r="B345" s="1" t="s">
        <v>518</v>
      </c>
      <c r="C345" s="290" t="s">
        <v>2063</v>
      </c>
      <c r="D345" s="290"/>
      <c r="E345" s="290" t="s">
        <v>516</v>
      </c>
      <c r="F345" s="290"/>
      <c r="G345" s="14" t="s">
        <v>5483</v>
      </c>
    </row>
    <row r="346" spans="2:9" x14ac:dyDescent="0.25">
      <c r="B346" s="1"/>
      <c r="C346" s="189"/>
      <c r="D346" s="189"/>
      <c r="E346" s="189"/>
      <c r="F346" s="189"/>
      <c r="G346" s="14" t="s">
        <v>5484</v>
      </c>
    </row>
    <row r="347" spans="2:9" x14ac:dyDescent="0.25">
      <c r="B347" s="11" t="s">
        <v>4263</v>
      </c>
      <c r="C347" s="252" t="s">
        <v>2103</v>
      </c>
      <c r="D347" s="252"/>
      <c r="E347" s="252" t="s">
        <v>5485</v>
      </c>
      <c r="F347" s="252"/>
      <c r="G347" s="14" t="s">
        <v>5486</v>
      </c>
    </row>
    <row r="348" spans="2:9" x14ac:dyDescent="0.25">
      <c r="B348" s="11"/>
      <c r="C348" s="188"/>
      <c r="D348" s="188"/>
      <c r="E348" s="188"/>
      <c r="F348" s="188"/>
      <c r="G348" s="14" t="s">
        <v>5487</v>
      </c>
    </row>
    <row r="349" spans="2:9" x14ac:dyDescent="0.25">
      <c r="B349" s="1" t="s">
        <v>397</v>
      </c>
      <c r="C349" s="290" t="s">
        <v>373</v>
      </c>
      <c r="D349" s="290"/>
      <c r="E349" s="290" t="s">
        <v>1194</v>
      </c>
      <c r="F349" s="290"/>
      <c r="G349" s="14" t="s">
        <v>1830</v>
      </c>
      <c r="H349" s="14" t="s">
        <v>5488</v>
      </c>
      <c r="I349" s="14"/>
    </row>
    <row r="350" spans="2:9" x14ac:dyDescent="0.25">
      <c r="B350" s="1"/>
      <c r="C350" s="189"/>
      <c r="D350" s="189"/>
      <c r="E350" s="189"/>
      <c r="F350" s="189"/>
      <c r="G350" s="14"/>
      <c r="H350" s="14" t="s">
        <v>5489</v>
      </c>
    </row>
    <row r="351" spans="2:9" x14ac:dyDescent="0.25">
      <c r="B351" s="11" t="s">
        <v>660</v>
      </c>
      <c r="C351" s="252" t="s">
        <v>373</v>
      </c>
      <c r="D351" s="252"/>
      <c r="E351" s="252" t="s">
        <v>525</v>
      </c>
      <c r="F351" s="252"/>
      <c r="G351" s="14" t="s">
        <v>5490</v>
      </c>
    </row>
    <row r="352" spans="2:9" x14ac:dyDescent="0.25">
      <c r="B352" s="11"/>
      <c r="C352" s="13"/>
      <c r="D352" s="13"/>
      <c r="E352" s="13"/>
      <c r="F352" s="13"/>
      <c r="G352" s="14" t="s">
        <v>5491</v>
      </c>
    </row>
    <row r="353" spans="2:13" x14ac:dyDescent="0.25">
      <c r="B353" s="1" t="s">
        <v>5492</v>
      </c>
      <c r="C353" s="253" t="s">
        <v>5493</v>
      </c>
      <c r="D353" s="253"/>
      <c r="E353" s="253" t="s">
        <v>5494</v>
      </c>
      <c r="F353" s="253"/>
      <c r="G353" s="14" t="s">
        <v>5495</v>
      </c>
    </row>
    <row r="354" spans="2:13" x14ac:dyDescent="0.25">
      <c r="B354" s="1" t="s">
        <v>2396</v>
      </c>
      <c r="C354" s="189"/>
      <c r="D354" s="189"/>
      <c r="E354" s="189"/>
      <c r="F354" s="189"/>
      <c r="G354" s="14"/>
    </row>
    <row r="355" spans="2:13" x14ac:dyDescent="0.25">
      <c r="B355" s="11" t="s">
        <v>5496</v>
      </c>
      <c r="C355" s="252" t="s">
        <v>678</v>
      </c>
      <c r="D355" s="252"/>
      <c r="E355" s="252" t="s">
        <v>392</v>
      </c>
      <c r="F355" s="252"/>
      <c r="G355" s="14"/>
    </row>
    <row r="356" spans="2:13" x14ac:dyDescent="0.25">
      <c r="B356" s="11" t="s">
        <v>5497</v>
      </c>
      <c r="C356" s="188"/>
      <c r="D356" s="188"/>
      <c r="E356" s="188"/>
      <c r="F356" s="188"/>
      <c r="G356" s="14"/>
    </row>
    <row r="357" spans="2:13" x14ac:dyDescent="0.25">
      <c r="B357" s="1" t="s">
        <v>5498</v>
      </c>
      <c r="C357" s="253" t="s">
        <v>5499</v>
      </c>
      <c r="D357" s="253"/>
      <c r="E357" s="253" t="s">
        <v>5500</v>
      </c>
      <c r="F357" s="253"/>
      <c r="G357" s="14"/>
    </row>
    <row r="358" spans="2:13" ht="15.75" thickBot="1" x14ac:dyDescent="0.3">
      <c r="B358" s="1" t="s">
        <v>5501</v>
      </c>
      <c r="C358" s="189"/>
      <c r="D358" s="189"/>
      <c r="E358" s="189"/>
      <c r="F358" s="189"/>
      <c r="G358" s="14"/>
    </row>
    <row r="359" spans="2:13" x14ac:dyDescent="0.25">
      <c r="B359" s="274" t="s">
        <v>401</v>
      </c>
      <c r="C359" s="275"/>
      <c r="D359" s="275"/>
      <c r="E359" s="275"/>
      <c r="F359" s="275"/>
      <c r="G359" s="275"/>
      <c r="H359" s="275"/>
      <c r="I359" s="275"/>
      <c r="J359" s="275"/>
      <c r="K359" s="275"/>
      <c r="L359" s="275"/>
      <c r="M359" s="276"/>
    </row>
    <row r="360" spans="2:13" x14ac:dyDescent="0.25">
      <c r="B360" s="3" t="s">
        <v>402</v>
      </c>
      <c r="C360" s="232" t="s">
        <v>403</v>
      </c>
      <c r="D360" s="232"/>
      <c r="E360" s="232" t="s">
        <v>467</v>
      </c>
      <c r="F360" s="232"/>
      <c r="G360" s="232" t="s">
        <v>405</v>
      </c>
      <c r="H360" s="232"/>
      <c r="I360" s="232" t="s">
        <v>406</v>
      </c>
      <c r="J360" s="232"/>
      <c r="K360" s="234" t="s">
        <v>468</v>
      </c>
      <c r="L360" s="235"/>
      <c r="M360" s="236"/>
    </row>
    <row r="361" spans="2:13" ht="15.75" thickBot="1" x14ac:dyDescent="0.3">
      <c r="B361" s="5"/>
      <c r="C361" s="237">
        <v>1</v>
      </c>
      <c r="D361" s="238"/>
      <c r="E361" s="239"/>
      <c r="F361" s="238"/>
      <c r="G361" s="240">
        <v>0.375</v>
      </c>
      <c r="H361" s="240"/>
      <c r="I361" s="241"/>
      <c r="J361" s="241"/>
      <c r="K361" s="242"/>
      <c r="L361" s="243"/>
      <c r="M361" s="244"/>
    </row>
    <row r="362" spans="2:13" ht="15.75" thickBot="1" x14ac:dyDescent="0.3">
      <c r="B362" s="1"/>
      <c r="C362" s="1"/>
      <c r="D362" s="1"/>
      <c r="E362" s="1"/>
      <c r="F362" s="1"/>
      <c r="G362" s="1"/>
      <c r="H362" s="1"/>
    </row>
    <row r="363" spans="2:13" x14ac:dyDescent="0.25">
      <c r="B363" s="274" t="s">
        <v>408</v>
      </c>
      <c r="C363" s="275"/>
      <c r="D363" s="275"/>
      <c r="E363" s="275"/>
      <c r="F363" s="275"/>
      <c r="G363" s="275"/>
      <c r="H363" s="275"/>
      <c r="I363" s="275"/>
      <c r="J363" s="275"/>
      <c r="K363" s="275"/>
      <c r="L363" s="275"/>
      <c r="M363" s="276"/>
    </row>
    <row r="364" spans="2:13" x14ac:dyDescent="0.25">
      <c r="B364" s="3" t="s">
        <v>5502</v>
      </c>
      <c r="C364" s="232" t="s">
        <v>4159</v>
      </c>
      <c r="D364" s="232"/>
      <c r="E364" s="268" t="s">
        <v>3115</v>
      </c>
      <c r="F364" s="268"/>
      <c r="G364" s="232" t="s">
        <v>692</v>
      </c>
      <c r="H364" s="232"/>
      <c r="I364" s="232" t="s">
        <v>5503</v>
      </c>
      <c r="J364" s="232"/>
      <c r="K364" s="232" t="s">
        <v>5504</v>
      </c>
      <c r="L364" s="232"/>
      <c r="M364" s="269"/>
    </row>
    <row r="365" spans="2:13" ht="15.75" thickBot="1" x14ac:dyDescent="0.3">
      <c r="B365" s="5" t="s">
        <v>565</v>
      </c>
      <c r="C365" s="237" t="s">
        <v>916</v>
      </c>
      <c r="D365" s="238"/>
      <c r="E365" s="240" t="s">
        <v>5505</v>
      </c>
      <c r="F365" s="240"/>
      <c r="G365" s="240" t="s">
        <v>5506</v>
      </c>
      <c r="H365" s="240"/>
      <c r="I365" s="240" t="s">
        <v>5507</v>
      </c>
      <c r="J365" s="240"/>
      <c r="K365" s="240" t="s">
        <v>4460</v>
      </c>
      <c r="L365" s="240"/>
      <c r="M365" s="267"/>
    </row>
    <row r="367" spans="2:13" ht="23.25" x14ac:dyDescent="0.35">
      <c r="B367" s="29" t="s">
        <v>334</v>
      </c>
      <c r="C367" s="229" t="s">
        <v>235</v>
      </c>
      <c r="D367" s="229"/>
      <c r="E367" s="229"/>
      <c r="F367" s="229"/>
      <c r="G367" s="229"/>
      <c r="H367" s="229"/>
      <c r="I367" s="229"/>
      <c r="J367" s="229"/>
      <c r="K367" s="229"/>
    </row>
    <row r="368" spans="2:13" ht="18" x14ac:dyDescent="0.25">
      <c r="B368" s="12" t="s">
        <v>335</v>
      </c>
      <c r="C368" s="1" t="s">
        <v>3949</v>
      </c>
      <c r="F368" s="228" t="s">
        <v>427</v>
      </c>
      <c r="G368" s="228"/>
      <c r="H368" s="1" t="s">
        <v>5405</v>
      </c>
      <c r="L368" s="12" t="s">
        <v>339</v>
      </c>
      <c r="M368" s="78" t="s">
        <v>5508</v>
      </c>
    </row>
    <row r="370" spans="2:13" x14ac:dyDescent="0.25">
      <c r="B370" s="2" t="s">
        <v>341</v>
      </c>
      <c r="C370" s="250" t="s">
        <v>4076</v>
      </c>
      <c r="D370" s="250"/>
      <c r="E370" s="250" t="s">
        <v>5071</v>
      </c>
      <c r="F370" s="250"/>
      <c r="G370" s="228" t="s">
        <v>345</v>
      </c>
      <c r="H370" s="228"/>
      <c r="I370" s="228"/>
      <c r="J370" s="228"/>
      <c r="K370" s="228"/>
      <c r="L370" s="228"/>
      <c r="M370" s="228"/>
    </row>
    <row r="372" spans="2:13" x14ac:dyDescent="0.25">
      <c r="B372" s="11" t="s">
        <v>4263</v>
      </c>
      <c r="C372" s="252" t="s">
        <v>374</v>
      </c>
      <c r="D372" s="252"/>
      <c r="E372" s="252" t="s">
        <v>1194</v>
      </c>
      <c r="F372" s="252"/>
      <c r="G372" s="14" t="s">
        <v>4264</v>
      </c>
      <c r="H372" s="14"/>
    </row>
    <row r="373" spans="2:13" x14ac:dyDescent="0.25">
      <c r="B373" s="11"/>
      <c r="C373" s="188"/>
      <c r="D373" s="188"/>
      <c r="E373" s="188"/>
      <c r="F373" s="188"/>
      <c r="G373" s="14" t="s">
        <v>4265</v>
      </c>
      <c r="H373" s="14"/>
    </row>
    <row r="374" spans="2:13" x14ac:dyDescent="0.25">
      <c r="B374" s="1" t="s">
        <v>660</v>
      </c>
      <c r="C374" s="290" t="s">
        <v>789</v>
      </c>
      <c r="D374" s="290"/>
      <c r="E374" s="290" t="s">
        <v>1497</v>
      </c>
      <c r="F374" s="290"/>
      <c r="G374" s="14" t="s">
        <v>5509</v>
      </c>
      <c r="H374" s="14"/>
    </row>
    <row r="375" spans="2:13" x14ac:dyDescent="0.25">
      <c r="B375" s="1"/>
      <c r="C375" s="189"/>
      <c r="D375" s="189"/>
      <c r="E375" s="189"/>
      <c r="F375" s="189"/>
      <c r="G375" s="14" t="s">
        <v>5510</v>
      </c>
      <c r="H375" s="14"/>
    </row>
    <row r="376" spans="2:13" x14ac:dyDescent="0.25">
      <c r="B376" s="11" t="s">
        <v>3742</v>
      </c>
      <c r="C376" s="252" t="s">
        <v>757</v>
      </c>
      <c r="D376" s="252"/>
      <c r="E376" s="323" t="s">
        <v>504</v>
      </c>
      <c r="F376" s="323"/>
      <c r="G376" s="14" t="s">
        <v>3068</v>
      </c>
      <c r="H376" s="14"/>
    </row>
    <row r="377" spans="2:13" x14ac:dyDescent="0.25">
      <c r="B377" s="11"/>
      <c r="C377" s="188"/>
      <c r="D377" s="188"/>
      <c r="E377" s="188"/>
      <c r="F377" s="188"/>
      <c r="G377" s="14" t="s">
        <v>5511</v>
      </c>
      <c r="H377" s="14"/>
    </row>
    <row r="378" spans="2:13" x14ac:dyDescent="0.25">
      <c r="B378" s="1" t="s">
        <v>3991</v>
      </c>
      <c r="C378" s="290" t="s">
        <v>516</v>
      </c>
      <c r="D378" s="290"/>
      <c r="E378" s="290" t="s">
        <v>513</v>
      </c>
      <c r="F378" s="290"/>
      <c r="G378" s="14" t="s">
        <v>5512</v>
      </c>
      <c r="H378" s="14"/>
    </row>
    <row r="379" spans="2:13" x14ac:dyDescent="0.25">
      <c r="B379" s="1"/>
      <c r="C379" s="189"/>
      <c r="D379" s="189"/>
      <c r="E379" s="189"/>
      <c r="F379" s="189"/>
      <c r="G379" s="14" t="s">
        <v>4271</v>
      </c>
      <c r="H379" s="14"/>
    </row>
    <row r="380" spans="2:13" x14ac:dyDescent="0.25">
      <c r="B380" s="11" t="s">
        <v>652</v>
      </c>
      <c r="C380" s="252" t="s">
        <v>383</v>
      </c>
      <c r="D380" s="252"/>
      <c r="E380" s="252" t="s">
        <v>1019</v>
      </c>
      <c r="F380" s="252"/>
      <c r="G380" s="14" t="s">
        <v>5513</v>
      </c>
    </row>
    <row r="381" spans="2:13" x14ac:dyDescent="0.25">
      <c r="B381" s="11"/>
      <c r="C381" s="188"/>
      <c r="D381" s="188"/>
      <c r="E381" s="188"/>
      <c r="F381" s="188"/>
      <c r="G381" s="14"/>
    </row>
    <row r="382" spans="2:13" x14ac:dyDescent="0.25">
      <c r="B382" s="1" t="s">
        <v>1946</v>
      </c>
      <c r="C382" s="290" t="s">
        <v>383</v>
      </c>
      <c r="D382" s="290"/>
      <c r="E382" s="290" t="s">
        <v>1019</v>
      </c>
      <c r="F382" s="290"/>
      <c r="G382" s="14"/>
    </row>
    <row r="383" spans="2:13" x14ac:dyDescent="0.25">
      <c r="B383" s="1"/>
      <c r="C383" s="189"/>
      <c r="D383" s="189"/>
      <c r="E383" s="189"/>
      <c r="F383" s="189"/>
      <c r="G383" s="14"/>
    </row>
    <row r="384" spans="2:13" x14ac:dyDescent="0.25">
      <c r="B384" s="11" t="s">
        <v>1840</v>
      </c>
      <c r="C384" s="252" t="s">
        <v>513</v>
      </c>
      <c r="D384" s="252"/>
      <c r="E384" s="252" t="s">
        <v>517</v>
      </c>
      <c r="F384" s="252"/>
      <c r="G384" s="14"/>
    </row>
    <row r="385" spans="2:13" x14ac:dyDescent="0.25">
      <c r="B385" s="11"/>
      <c r="C385" s="188"/>
      <c r="D385" s="188"/>
      <c r="E385" s="188"/>
      <c r="F385" s="188"/>
      <c r="G385" s="14"/>
    </row>
    <row r="386" spans="2:13" x14ac:dyDescent="0.25">
      <c r="B386" s="1" t="s">
        <v>518</v>
      </c>
      <c r="C386" s="290" t="s">
        <v>516</v>
      </c>
      <c r="D386" s="290"/>
      <c r="E386" s="290" t="s">
        <v>513</v>
      </c>
      <c r="F386" s="290"/>
      <c r="G386" s="14"/>
      <c r="H386" s="14"/>
      <c r="I386" s="14"/>
    </row>
    <row r="387" spans="2:13" ht="15.75" thickBot="1" x14ac:dyDescent="0.3">
      <c r="B387" s="1"/>
      <c r="C387" s="189"/>
      <c r="D387" s="189"/>
      <c r="E387" s="189"/>
      <c r="F387" s="189"/>
      <c r="G387" s="14"/>
      <c r="H387" s="14"/>
    </row>
    <row r="388" spans="2:13" x14ac:dyDescent="0.25">
      <c r="B388" s="274" t="s">
        <v>401</v>
      </c>
      <c r="C388" s="275"/>
      <c r="D388" s="275"/>
      <c r="E388" s="275"/>
      <c r="F388" s="275"/>
      <c r="G388" s="275"/>
      <c r="H388" s="275"/>
      <c r="I388" s="275"/>
      <c r="J388" s="275"/>
      <c r="K388" s="275"/>
      <c r="L388" s="275"/>
      <c r="M388" s="276"/>
    </row>
    <row r="389" spans="2:13" x14ac:dyDescent="0.25">
      <c r="B389" s="3" t="s">
        <v>402</v>
      </c>
      <c r="C389" s="232" t="s">
        <v>403</v>
      </c>
      <c r="D389" s="232"/>
      <c r="E389" s="232" t="s">
        <v>467</v>
      </c>
      <c r="F389" s="232"/>
      <c r="G389" s="232" t="s">
        <v>405</v>
      </c>
      <c r="H389" s="232"/>
      <c r="I389" s="232" t="s">
        <v>406</v>
      </c>
      <c r="J389" s="232"/>
      <c r="K389" s="234" t="s">
        <v>468</v>
      </c>
      <c r="L389" s="235"/>
      <c r="M389" s="236"/>
    </row>
    <row r="390" spans="2:13" ht="15.75" thickBot="1" x14ac:dyDescent="0.3">
      <c r="B390" s="5">
        <v>0.13</v>
      </c>
      <c r="C390" s="237">
        <v>0.65</v>
      </c>
      <c r="D390" s="238"/>
      <c r="E390" s="239"/>
      <c r="F390" s="238"/>
      <c r="G390" s="240"/>
      <c r="H390" s="240"/>
      <c r="I390" s="241"/>
      <c r="J390" s="241"/>
      <c r="K390" s="242"/>
      <c r="L390" s="243"/>
      <c r="M390" s="244"/>
    </row>
    <row r="391" spans="2:13" x14ac:dyDescent="0.25">
      <c r="B391" s="1"/>
      <c r="C391" s="1"/>
      <c r="D391" s="1"/>
      <c r="E391" s="1"/>
      <c r="F391" s="1"/>
      <c r="G391" s="1"/>
      <c r="H391" s="1"/>
    </row>
    <row r="392" spans="2:13" x14ac:dyDescent="0.25">
      <c r="B392" s="217" t="s">
        <v>408</v>
      </c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9"/>
    </row>
    <row r="393" spans="2:13" x14ac:dyDescent="0.25">
      <c r="B393" s="122" t="s">
        <v>5514</v>
      </c>
      <c r="C393" s="220" t="s">
        <v>4159</v>
      </c>
      <c r="D393" s="220"/>
      <c r="E393" s="221" t="s">
        <v>3162</v>
      </c>
      <c r="F393" s="221"/>
      <c r="G393" s="221" t="s">
        <v>2140</v>
      </c>
      <c r="H393" s="221"/>
      <c r="I393" s="220" t="s">
        <v>5515</v>
      </c>
      <c r="J393" s="220"/>
      <c r="K393" s="220" t="s">
        <v>5219</v>
      </c>
      <c r="L393" s="220"/>
      <c r="M393" s="222"/>
    </row>
    <row r="394" spans="2:13" x14ac:dyDescent="0.25">
      <c r="B394" s="123" t="s">
        <v>915</v>
      </c>
      <c r="C394" s="225" t="s">
        <v>5220</v>
      </c>
      <c r="D394" s="226"/>
      <c r="E394" s="227" t="s">
        <v>5516</v>
      </c>
      <c r="F394" s="227"/>
      <c r="G394" s="223" t="s">
        <v>4598</v>
      </c>
      <c r="H394" s="223"/>
      <c r="I394" s="227" t="s">
        <v>569</v>
      </c>
      <c r="J394" s="227"/>
      <c r="K394" s="223" t="s">
        <v>5517</v>
      </c>
      <c r="L394" s="223"/>
      <c r="M394" s="224"/>
    </row>
    <row r="395" spans="2:13" x14ac:dyDescent="0.25">
      <c r="B395" s="123" t="s">
        <v>5518</v>
      </c>
      <c r="C395" s="286" t="s">
        <v>5519</v>
      </c>
      <c r="D395" s="287"/>
      <c r="E395" s="227" t="s">
        <v>5520</v>
      </c>
      <c r="F395" s="227"/>
      <c r="G395" s="223" t="s">
        <v>5304</v>
      </c>
      <c r="H395" s="223"/>
      <c r="I395" s="223" t="s">
        <v>5521</v>
      </c>
      <c r="J395" s="223"/>
      <c r="K395" s="223" t="s">
        <v>5522</v>
      </c>
      <c r="L395" s="223"/>
      <c r="M395" s="224"/>
    </row>
    <row r="397" spans="2:13" ht="23.25" x14ac:dyDescent="0.35">
      <c r="B397" s="29" t="s">
        <v>334</v>
      </c>
      <c r="C397" s="229" t="s">
        <v>238</v>
      </c>
      <c r="D397" s="229"/>
      <c r="E397" s="229"/>
      <c r="F397" s="229"/>
      <c r="G397" s="229"/>
      <c r="H397" s="229"/>
      <c r="I397" s="229"/>
      <c r="J397" s="229"/>
      <c r="K397" s="229"/>
    </row>
    <row r="398" spans="2:13" ht="18" x14ac:dyDescent="0.25">
      <c r="B398" s="12" t="s">
        <v>335</v>
      </c>
      <c r="C398" s="1" t="s">
        <v>5523</v>
      </c>
      <c r="F398" s="228" t="s">
        <v>427</v>
      </c>
      <c r="G398" s="228"/>
      <c r="H398" s="1" t="s">
        <v>516</v>
      </c>
      <c r="L398" s="12" t="s">
        <v>339</v>
      </c>
      <c r="M398" s="78" t="s">
        <v>5524</v>
      </c>
    </row>
    <row r="400" spans="2:13" x14ac:dyDescent="0.25">
      <c r="B400" s="2" t="s">
        <v>341</v>
      </c>
      <c r="C400" s="250" t="s">
        <v>5525</v>
      </c>
      <c r="D400" s="250"/>
      <c r="E400" s="250" t="s">
        <v>5526</v>
      </c>
      <c r="F400" s="250"/>
      <c r="G400" s="228" t="s">
        <v>345</v>
      </c>
      <c r="H400" s="228"/>
      <c r="I400" s="228"/>
      <c r="J400" s="228"/>
      <c r="K400" s="228"/>
      <c r="L400" s="228"/>
      <c r="M400" s="228"/>
    </row>
    <row r="402" spans="2:13" x14ac:dyDescent="0.25">
      <c r="B402" s="11" t="s">
        <v>5527</v>
      </c>
      <c r="C402" s="252" t="s">
        <v>742</v>
      </c>
      <c r="D402" s="252"/>
      <c r="E402" s="252" t="s">
        <v>1989</v>
      </c>
      <c r="F402" s="252"/>
      <c r="G402" s="14" t="s">
        <v>5528</v>
      </c>
      <c r="H402" s="14"/>
    </row>
    <row r="403" spans="2:13" x14ac:dyDescent="0.25">
      <c r="B403" s="11"/>
      <c r="C403" s="188"/>
      <c r="D403" s="188"/>
      <c r="E403" s="188"/>
      <c r="F403" s="188"/>
      <c r="G403" s="14" t="s">
        <v>5529</v>
      </c>
      <c r="H403" s="14"/>
    </row>
    <row r="404" spans="2:13" x14ac:dyDescent="0.25">
      <c r="B404" s="1" t="s">
        <v>5530</v>
      </c>
      <c r="C404" s="290" t="s">
        <v>400</v>
      </c>
      <c r="D404" s="290"/>
      <c r="E404" s="290" t="s">
        <v>1711</v>
      </c>
      <c r="F404" s="290"/>
      <c r="G404" s="14"/>
      <c r="H404" s="14"/>
    </row>
    <row r="405" spans="2:13" x14ac:dyDescent="0.25">
      <c r="B405" s="1"/>
      <c r="C405" s="189"/>
      <c r="D405" s="189"/>
      <c r="E405" s="189"/>
      <c r="F405" s="189"/>
      <c r="G405" s="14"/>
      <c r="H405" s="14"/>
    </row>
    <row r="406" spans="2:13" x14ac:dyDescent="0.25">
      <c r="B406" s="11" t="s">
        <v>859</v>
      </c>
      <c r="C406" s="252" t="s">
        <v>508</v>
      </c>
      <c r="D406" s="252"/>
      <c r="E406" s="323" t="s">
        <v>390</v>
      </c>
      <c r="F406" s="323"/>
      <c r="G406" s="14"/>
      <c r="H406" s="14"/>
    </row>
    <row r="407" spans="2:13" x14ac:dyDescent="0.25">
      <c r="B407" s="11"/>
      <c r="C407" s="188"/>
      <c r="D407" s="188"/>
      <c r="E407" s="188"/>
      <c r="F407" s="188"/>
      <c r="G407" s="14"/>
      <c r="H407" s="14"/>
    </row>
    <row r="408" spans="2:13" x14ac:dyDescent="0.25">
      <c r="B408" s="1" t="s">
        <v>3991</v>
      </c>
      <c r="C408" s="290" t="s">
        <v>657</v>
      </c>
      <c r="D408" s="290"/>
      <c r="E408" s="290" t="s">
        <v>3028</v>
      </c>
      <c r="F408" s="290"/>
      <c r="G408" s="14"/>
      <c r="H408" s="14"/>
    </row>
    <row r="409" spans="2:13" ht="15.75" thickBot="1" x14ac:dyDescent="0.3">
      <c r="B409" s="1"/>
      <c r="C409" s="189"/>
      <c r="D409" s="189"/>
      <c r="E409" s="189"/>
      <c r="F409" s="189"/>
      <c r="G409" s="14"/>
      <c r="H409" s="14"/>
    </row>
    <row r="410" spans="2:13" x14ac:dyDescent="0.25">
      <c r="B410" s="274" t="s">
        <v>401</v>
      </c>
      <c r="C410" s="275"/>
      <c r="D410" s="275"/>
      <c r="E410" s="275"/>
      <c r="F410" s="275"/>
      <c r="G410" s="275"/>
      <c r="H410" s="275"/>
      <c r="I410" s="275"/>
      <c r="J410" s="275"/>
      <c r="K410" s="275"/>
      <c r="L410" s="275"/>
      <c r="M410" s="276"/>
    </row>
    <row r="411" spans="2:13" x14ac:dyDescent="0.25">
      <c r="B411" s="3" t="s">
        <v>402</v>
      </c>
      <c r="C411" s="232" t="s">
        <v>403</v>
      </c>
      <c r="D411" s="232"/>
      <c r="E411" s="232" t="s">
        <v>467</v>
      </c>
      <c r="F411" s="232"/>
      <c r="G411" s="232" t="s">
        <v>405</v>
      </c>
      <c r="H411" s="232"/>
      <c r="I411" s="232" t="s">
        <v>406</v>
      </c>
      <c r="J411" s="232"/>
      <c r="K411" s="234" t="s">
        <v>468</v>
      </c>
      <c r="L411" s="235"/>
      <c r="M411" s="236"/>
    </row>
    <row r="412" spans="2:13" ht="15.75" thickBot="1" x14ac:dyDescent="0.3">
      <c r="B412" s="5"/>
      <c r="C412" s="237"/>
      <c r="D412" s="238"/>
      <c r="E412" s="239"/>
      <c r="F412" s="238"/>
      <c r="G412" s="240"/>
      <c r="H412" s="240"/>
      <c r="I412" s="241"/>
      <c r="J412" s="241"/>
      <c r="K412" s="242"/>
      <c r="L412" s="243"/>
      <c r="M412" s="244"/>
    </row>
    <row r="413" spans="2:13" ht="15.75" thickBot="1" x14ac:dyDescent="0.3">
      <c r="B413" s="1"/>
      <c r="C413" s="1"/>
      <c r="D413" s="1"/>
      <c r="E413" s="1"/>
      <c r="F413" s="1"/>
      <c r="G413" s="1"/>
      <c r="H413" s="1"/>
    </row>
    <row r="414" spans="2:13" x14ac:dyDescent="0.25">
      <c r="B414" s="274" t="s">
        <v>408</v>
      </c>
      <c r="C414" s="275"/>
      <c r="D414" s="275"/>
      <c r="E414" s="275"/>
      <c r="F414" s="275"/>
      <c r="G414" s="275"/>
      <c r="H414" s="275"/>
      <c r="I414" s="275"/>
      <c r="J414" s="275"/>
      <c r="K414" s="275"/>
      <c r="L414" s="275"/>
      <c r="M414" s="276"/>
    </row>
    <row r="415" spans="2:13" x14ac:dyDescent="0.25">
      <c r="B415" s="3" t="s">
        <v>5531</v>
      </c>
      <c r="C415" s="232" t="s">
        <v>529</v>
      </c>
      <c r="D415" s="232"/>
      <c r="E415" s="268" t="s">
        <v>5532</v>
      </c>
      <c r="F415" s="268"/>
      <c r="G415" s="268" t="s">
        <v>5533</v>
      </c>
      <c r="H415" s="268"/>
      <c r="I415" s="232" t="s">
        <v>5534</v>
      </c>
      <c r="J415" s="232"/>
      <c r="K415" s="232" t="s">
        <v>5535</v>
      </c>
      <c r="L415" s="232"/>
      <c r="M415" s="269"/>
    </row>
    <row r="416" spans="2:13" ht="15.75" thickBot="1" x14ac:dyDescent="0.3">
      <c r="B416" s="5" t="s">
        <v>3866</v>
      </c>
      <c r="C416" s="237" t="s">
        <v>2257</v>
      </c>
      <c r="D416" s="238"/>
      <c r="E416" s="240" t="s">
        <v>5536</v>
      </c>
      <c r="F416" s="240"/>
      <c r="G416" s="240" t="s">
        <v>5537</v>
      </c>
      <c r="H416" s="240"/>
      <c r="I416" s="240" t="s">
        <v>5538</v>
      </c>
      <c r="J416" s="240"/>
      <c r="K416" s="240" t="s">
        <v>5539</v>
      </c>
      <c r="L416" s="240"/>
      <c r="M416" s="267"/>
    </row>
    <row r="418" spans="2:13" ht="23.25" x14ac:dyDescent="0.35">
      <c r="B418" s="29" t="s">
        <v>334</v>
      </c>
      <c r="C418" s="229" t="s">
        <v>250</v>
      </c>
      <c r="D418" s="229"/>
      <c r="E418" s="229"/>
      <c r="F418" s="229"/>
      <c r="G418" s="229"/>
      <c r="H418" s="229"/>
      <c r="I418" s="229"/>
      <c r="J418" s="229"/>
      <c r="K418" s="229"/>
    </row>
    <row r="419" spans="2:13" ht="18" x14ac:dyDescent="0.25">
      <c r="B419" s="12" t="s">
        <v>335</v>
      </c>
      <c r="C419" s="1" t="s">
        <v>5523</v>
      </c>
      <c r="F419" s="228" t="s">
        <v>427</v>
      </c>
      <c r="G419" s="228"/>
      <c r="H419" s="1" t="s">
        <v>5540</v>
      </c>
      <c r="L419" s="12" t="s">
        <v>339</v>
      </c>
      <c r="M419" s="78" t="s">
        <v>5541</v>
      </c>
    </row>
    <row r="421" spans="2:13" x14ac:dyDescent="0.25">
      <c r="B421" s="2" t="s">
        <v>341</v>
      </c>
      <c r="C421" s="250" t="s">
        <v>5542</v>
      </c>
      <c r="D421" s="250"/>
      <c r="E421" s="250" t="s">
        <v>5543</v>
      </c>
      <c r="F421" s="250"/>
      <c r="G421" s="228" t="s">
        <v>345</v>
      </c>
      <c r="H421" s="228"/>
      <c r="I421" s="228"/>
      <c r="J421" s="228"/>
      <c r="K421" s="228"/>
      <c r="L421" s="228"/>
      <c r="M421" s="228"/>
    </row>
    <row r="423" spans="2:13" x14ac:dyDescent="0.25">
      <c r="B423" s="11" t="s">
        <v>859</v>
      </c>
      <c r="C423" s="252" t="s">
        <v>1319</v>
      </c>
      <c r="D423" s="252"/>
      <c r="E423" s="252" t="s">
        <v>2125</v>
      </c>
      <c r="F423" s="252"/>
      <c r="G423" s="14" t="s">
        <v>5544</v>
      </c>
      <c r="H423" s="14"/>
    </row>
    <row r="424" spans="2:13" x14ac:dyDescent="0.25">
      <c r="B424" s="11"/>
      <c r="C424" s="188"/>
      <c r="D424" s="188"/>
      <c r="E424" s="188"/>
      <c r="F424" s="188"/>
      <c r="G424" s="14"/>
      <c r="H424" s="14"/>
    </row>
    <row r="425" spans="2:13" x14ac:dyDescent="0.25">
      <c r="B425" s="1" t="s">
        <v>5545</v>
      </c>
      <c r="C425" s="290" t="s">
        <v>392</v>
      </c>
      <c r="D425" s="290"/>
      <c r="E425" s="290" t="s">
        <v>789</v>
      </c>
      <c r="F425" s="290"/>
      <c r="G425" s="14"/>
      <c r="H425" s="14"/>
    </row>
    <row r="426" spans="2:13" x14ac:dyDescent="0.25">
      <c r="B426" s="1"/>
      <c r="C426" s="189"/>
      <c r="D426" s="189"/>
      <c r="E426" s="189"/>
      <c r="F426" s="189"/>
      <c r="G426" s="14"/>
      <c r="H426" s="14"/>
    </row>
    <row r="427" spans="2:13" x14ac:dyDescent="0.25">
      <c r="B427" s="11" t="s">
        <v>518</v>
      </c>
      <c r="C427" s="252" t="s">
        <v>513</v>
      </c>
      <c r="D427" s="252"/>
      <c r="E427" s="323" t="s">
        <v>517</v>
      </c>
      <c r="F427" s="323"/>
      <c r="G427" s="14"/>
      <c r="H427" s="14"/>
    </row>
    <row r="428" spans="2:13" x14ac:dyDescent="0.25">
      <c r="B428" s="11"/>
      <c r="C428" s="188"/>
      <c r="D428" s="188"/>
      <c r="E428" s="188"/>
      <c r="F428" s="188"/>
      <c r="G428" s="14"/>
      <c r="H428" s="14"/>
    </row>
    <row r="429" spans="2:13" x14ac:dyDescent="0.25">
      <c r="B429" s="1" t="s">
        <v>660</v>
      </c>
      <c r="C429" s="290" t="s">
        <v>789</v>
      </c>
      <c r="D429" s="290"/>
      <c r="E429" s="290" t="s">
        <v>1497</v>
      </c>
      <c r="F429" s="290"/>
      <c r="G429" s="14"/>
      <c r="H429" s="14"/>
    </row>
    <row r="430" spans="2:13" x14ac:dyDescent="0.25">
      <c r="B430" s="1"/>
      <c r="C430" s="199"/>
      <c r="D430" s="199"/>
      <c r="E430" s="199"/>
      <c r="F430" s="199"/>
      <c r="G430" s="14"/>
      <c r="H430" s="14"/>
    </row>
    <row r="431" spans="2:13" x14ac:dyDescent="0.25">
      <c r="B431" s="11" t="s">
        <v>848</v>
      </c>
      <c r="C431" s="323" t="s">
        <v>744</v>
      </c>
      <c r="D431" s="323"/>
      <c r="E431" s="323" t="s">
        <v>487</v>
      </c>
      <c r="F431" s="323"/>
      <c r="G431" s="14"/>
      <c r="H431" s="14"/>
    </row>
    <row r="432" spans="2:13" ht="15.75" thickBot="1" x14ac:dyDescent="0.3">
      <c r="B432" s="11"/>
      <c r="C432" s="188"/>
      <c r="D432" s="188"/>
      <c r="E432" s="188"/>
      <c r="F432" s="188"/>
      <c r="G432" s="14"/>
      <c r="H432" s="14"/>
    </row>
    <row r="433" spans="2:13" x14ac:dyDescent="0.25">
      <c r="B433" s="274" t="s">
        <v>401</v>
      </c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6"/>
    </row>
    <row r="434" spans="2:13" x14ac:dyDescent="0.25">
      <c r="B434" s="3" t="s">
        <v>402</v>
      </c>
      <c r="C434" s="232" t="s">
        <v>403</v>
      </c>
      <c r="D434" s="232"/>
      <c r="E434" s="232" t="s">
        <v>467</v>
      </c>
      <c r="F434" s="232"/>
      <c r="G434" s="232" t="s">
        <v>405</v>
      </c>
      <c r="H434" s="232"/>
      <c r="I434" s="232" t="s">
        <v>406</v>
      </c>
      <c r="J434" s="232"/>
      <c r="K434" s="234" t="s">
        <v>5546</v>
      </c>
      <c r="L434" s="235"/>
      <c r="M434" s="236"/>
    </row>
    <row r="435" spans="2:13" ht="15.75" thickBot="1" x14ac:dyDescent="0.3">
      <c r="B435" s="5"/>
      <c r="C435" s="237"/>
      <c r="D435" s="238"/>
      <c r="E435" s="239"/>
      <c r="F435" s="238"/>
      <c r="G435" s="240"/>
      <c r="H435" s="240"/>
      <c r="I435" s="241"/>
      <c r="J435" s="241"/>
      <c r="K435" s="239">
        <v>0.76190000000000002</v>
      </c>
      <c r="L435" s="237"/>
      <c r="M435" s="308"/>
    </row>
    <row r="436" spans="2:13" ht="15.75" thickBot="1" x14ac:dyDescent="0.3">
      <c r="B436" s="1"/>
      <c r="C436" s="1"/>
      <c r="D436" s="1"/>
      <c r="E436" s="1"/>
      <c r="F436" s="1"/>
      <c r="G436" s="1"/>
      <c r="H436" s="1"/>
    </row>
    <row r="437" spans="2:13" x14ac:dyDescent="0.25">
      <c r="B437" s="274" t="s">
        <v>408</v>
      </c>
      <c r="C437" s="275"/>
      <c r="D437" s="275"/>
      <c r="E437" s="275"/>
      <c r="F437" s="275"/>
      <c r="G437" s="275"/>
      <c r="H437" s="275"/>
      <c r="I437" s="275"/>
      <c r="J437" s="275"/>
      <c r="K437" s="275"/>
      <c r="L437" s="275"/>
      <c r="M437" s="276"/>
    </row>
    <row r="438" spans="2:13" x14ac:dyDescent="0.25">
      <c r="B438" s="3" t="s">
        <v>5547</v>
      </c>
      <c r="C438" s="232" t="s">
        <v>5548</v>
      </c>
      <c r="D438" s="232"/>
      <c r="E438" s="268" t="s">
        <v>5549</v>
      </c>
      <c r="F438" s="268"/>
      <c r="G438" s="268" t="s">
        <v>5550</v>
      </c>
      <c r="H438" s="268"/>
      <c r="I438" s="232" t="s">
        <v>5551</v>
      </c>
      <c r="J438" s="232"/>
      <c r="K438" s="232" t="s">
        <v>5552</v>
      </c>
      <c r="L438" s="232"/>
      <c r="M438" s="269"/>
    </row>
    <row r="439" spans="2:13" ht="15.75" thickBot="1" x14ac:dyDescent="0.3">
      <c r="B439" s="5" t="s">
        <v>5553</v>
      </c>
      <c r="C439" s="237" t="s">
        <v>5554</v>
      </c>
      <c r="D439" s="238"/>
      <c r="E439" s="240" t="s">
        <v>5555</v>
      </c>
      <c r="F439" s="240"/>
      <c r="G439" s="240" t="s">
        <v>5556</v>
      </c>
      <c r="H439" s="240"/>
      <c r="I439" s="388" t="s">
        <v>5557</v>
      </c>
      <c r="J439" s="388"/>
      <c r="K439" s="240" t="s">
        <v>5558</v>
      </c>
      <c r="L439" s="240"/>
      <c r="M439" s="267"/>
    </row>
    <row r="441" spans="2:13" ht="23.25" x14ac:dyDescent="0.35">
      <c r="B441" s="29" t="s">
        <v>334</v>
      </c>
      <c r="C441" s="229" t="s">
        <v>262</v>
      </c>
      <c r="D441" s="229"/>
      <c r="E441" s="229"/>
      <c r="F441" s="229"/>
      <c r="G441" s="229"/>
      <c r="H441" s="229"/>
      <c r="I441" s="229"/>
      <c r="J441" s="229"/>
      <c r="K441" s="229"/>
    </row>
    <row r="442" spans="2:13" ht="18" x14ac:dyDescent="0.25">
      <c r="B442" s="12" t="s">
        <v>335</v>
      </c>
      <c r="C442" s="1" t="s">
        <v>5559</v>
      </c>
      <c r="F442" s="228" t="s">
        <v>427</v>
      </c>
      <c r="G442" s="228"/>
      <c r="H442" s="1" t="s">
        <v>3772</v>
      </c>
      <c r="L442" s="12" t="s">
        <v>339</v>
      </c>
      <c r="M442" s="78" t="s">
        <v>5560</v>
      </c>
    </row>
    <row r="444" spans="2:13" x14ac:dyDescent="0.25">
      <c r="B444" s="2" t="s">
        <v>341</v>
      </c>
      <c r="C444" s="250" t="s">
        <v>3773</v>
      </c>
      <c r="D444" s="250"/>
      <c r="E444" s="250" t="s">
        <v>3774</v>
      </c>
      <c r="F444" s="250"/>
      <c r="G444" s="228" t="s">
        <v>345</v>
      </c>
      <c r="H444" s="228"/>
      <c r="I444" s="228"/>
      <c r="J444" s="228"/>
      <c r="K444" s="228"/>
      <c r="L444" s="228"/>
      <c r="M444" s="228"/>
    </row>
    <row r="446" spans="2:13" x14ac:dyDescent="0.25">
      <c r="B446" s="11" t="s">
        <v>5561</v>
      </c>
      <c r="C446" s="230" t="s">
        <v>5562</v>
      </c>
      <c r="D446" s="230"/>
      <c r="E446" s="230" t="s">
        <v>5563</v>
      </c>
      <c r="F446" s="230"/>
      <c r="G446" s="14" t="s">
        <v>5564</v>
      </c>
      <c r="H446" s="14"/>
    </row>
    <row r="447" spans="2:13" x14ac:dyDescent="0.25">
      <c r="B447" s="11" t="s">
        <v>5565</v>
      </c>
      <c r="C447" s="230"/>
      <c r="D447" s="230"/>
      <c r="E447" s="230"/>
      <c r="F447" s="230"/>
      <c r="G447" s="14" t="s">
        <v>5566</v>
      </c>
      <c r="H447" s="14"/>
    </row>
    <row r="448" spans="2:13" x14ac:dyDescent="0.25">
      <c r="B448" s="1" t="s">
        <v>961</v>
      </c>
      <c r="C448" s="283" t="s">
        <v>1194</v>
      </c>
      <c r="D448" s="283"/>
      <c r="E448" s="283" t="s">
        <v>602</v>
      </c>
      <c r="F448" s="283"/>
      <c r="G448" s="14" t="s">
        <v>5567</v>
      </c>
      <c r="H448" s="14"/>
    </row>
    <row r="449" spans="2:13" x14ac:dyDescent="0.25">
      <c r="B449" s="1"/>
      <c r="C449" s="283"/>
      <c r="D449" s="283"/>
      <c r="E449" s="283"/>
      <c r="F449" s="283"/>
      <c r="G449" s="14" t="s">
        <v>5568</v>
      </c>
      <c r="H449" s="14"/>
    </row>
    <row r="450" spans="2:13" x14ac:dyDescent="0.25">
      <c r="B450" s="11" t="s">
        <v>1224</v>
      </c>
      <c r="C450" s="230" t="s">
        <v>513</v>
      </c>
      <c r="D450" s="230"/>
      <c r="E450" s="230" t="s">
        <v>517</v>
      </c>
      <c r="F450" s="230"/>
      <c r="G450" s="14" t="s">
        <v>5569</v>
      </c>
      <c r="H450" s="14"/>
    </row>
    <row r="451" spans="2:13" x14ac:dyDescent="0.25">
      <c r="B451" s="11"/>
      <c r="C451" s="185"/>
      <c r="D451" s="185"/>
      <c r="E451" s="185"/>
      <c r="F451" s="185"/>
      <c r="G451" s="14" t="s">
        <v>5570</v>
      </c>
      <c r="H451" s="14"/>
    </row>
    <row r="452" spans="2:13" x14ac:dyDescent="0.25">
      <c r="B452" s="1" t="s">
        <v>1952</v>
      </c>
      <c r="C452" s="283" t="s">
        <v>513</v>
      </c>
      <c r="D452" s="283"/>
      <c r="E452" s="283" t="s">
        <v>517</v>
      </c>
      <c r="F452" s="283"/>
      <c r="G452" s="14" t="s">
        <v>5571</v>
      </c>
      <c r="H452" s="14"/>
    </row>
    <row r="453" spans="2:13" x14ac:dyDescent="0.25">
      <c r="B453" s="1"/>
      <c r="C453" s="195"/>
      <c r="D453" s="195"/>
      <c r="E453" s="195"/>
      <c r="F453" s="195"/>
      <c r="G453" s="14" t="s">
        <v>5572</v>
      </c>
      <c r="H453" s="14"/>
    </row>
    <row r="454" spans="2:13" x14ac:dyDescent="0.25">
      <c r="B454" s="11" t="s">
        <v>5573</v>
      </c>
      <c r="C454" s="230" t="s">
        <v>374</v>
      </c>
      <c r="D454" s="230"/>
      <c r="E454" s="230" t="s">
        <v>1194</v>
      </c>
      <c r="F454" s="230"/>
      <c r="G454" s="14" t="s">
        <v>5574</v>
      </c>
      <c r="H454" s="14"/>
    </row>
    <row r="455" spans="2:13" x14ac:dyDescent="0.25">
      <c r="B455" s="11" t="s">
        <v>4077</v>
      </c>
      <c r="C455" s="230" t="s">
        <v>437</v>
      </c>
      <c r="D455" s="230"/>
      <c r="E455" s="230" t="s">
        <v>438</v>
      </c>
      <c r="F455" s="230"/>
      <c r="G455" s="14" t="s">
        <v>5575</v>
      </c>
      <c r="H455" s="14"/>
    </row>
    <row r="456" spans="2:13" x14ac:dyDescent="0.25">
      <c r="B456" s="32"/>
      <c r="C456" s="198"/>
      <c r="D456" s="198"/>
      <c r="E456" s="198"/>
      <c r="F456" s="198"/>
      <c r="G456" s="14" t="s">
        <v>5576</v>
      </c>
      <c r="H456" s="14"/>
    </row>
    <row r="457" spans="2:13" x14ac:dyDescent="0.25">
      <c r="B457" s="32"/>
      <c r="C457" s="198"/>
      <c r="D457" s="198"/>
      <c r="E457" s="198"/>
      <c r="F457" s="198"/>
      <c r="G457" s="14" t="s">
        <v>5577</v>
      </c>
      <c r="H457" s="14"/>
    </row>
    <row r="458" spans="2:13" x14ac:dyDescent="0.25">
      <c r="B458" s="32"/>
      <c r="C458" s="198"/>
      <c r="D458" s="198"/>
      <c r="E458" s="198"/>
      <c r="F458" s="198"/>
      <c r="G458" s="14" t="s">
        <v>5578</v>
      </c>
      <c r="H458" s="14"/>
    </row>
    <row r="459" spans="2:13" ht="15.75" thickBot="1" x14ac:dyDescent="0.3">
      <c r="G459" s="14" t="s">
        <v>5579</v>
      </c>
      <c r="H459" s="14"/>
    </row>
    <row r="460" spans="2:13" x14ac:dyDescent="0.25">
      <c r="B460" s="274" t="s">
        <v>401</v>
      </c>
      <c r="C460" s="275"/>
      <c r="D460" s="275"/>
      <c r="E460" s="275"/>
      <c r="F460" s="275"/>
      <c r="G460" s="275"/>
      <c r="H460" s="275"/>
      <c r="I460" s="275"/>
      <c r="J460" s="275"/>
      <c r="K460" s="275"/>
      <c r="L460" s="275"/>
      <c r="M460" s="276"/>
    </row>
    <row r="461" spans="2:13" x14ac:dyDescent="0.25">
      <c r="B461" s="3" t="s">
        <v>402</v>
      </c>
      <c r="C461" s="232" t="s">
        <v>403</v>
      </c>
      <c r="D461" s="232"/>
      <c r="E461" s="232" t="s">
        <v>467</v>
      </c>
      <c r="F461" s="232"/>
      <c r="G461" s="232" t="s">
        <v>405</v>
      </c>
      <c r="H461" s="232"/>
      <c r="I461" s="232" t="s">
        <v>406</v>
      </c>
      <c r="J461" s="232"/>
      <c r="K461" s="234" t="s">
        <v>5546</v>
      </c>
      <c r="L461" s="235"/>
      <c r="M461" s="236"/>
    </row>
    <row r="462" spans="2:13" ht="15.75" thickBot="1" x14ac:dyDescent="0.3">
      <c r="B462" s="5">
        <v>0.5</v>
      </c>
      <c r="C462" s="237">
        <v>1</v>
      </c>
      <c r="D462" s="238"/>
      <c r="E462" s="239"/>
      <c r="F462" s="238"/>
      <c r="G462" s="240"/>
      <c r="H462" s="240"/>
      <c r="I462" s="241"/>
      <c r="J462" s="241"/>
      <c r="K462" s="239">
        <v>0.5</v>
      </c>
      <c r="L462" s="237"/>
      <c r="M462" s="308"/>
    </row>
    <row r="463" spans="2:13" ht="15.75" thickBot="1" x14ac:dyDescent="0.3">
      <c r="B463" s="1"/>
      <c r="C463" s="1"/>
      <c r="D463" s="1"/>
      <c r="E463" s="1"/>
      <c r="F463" s="1"/>
      <c r="G463" s="1"/>
      <c r="H463" s="1"/>
    </row>
    <row r="464" spans="2:13" x14ac:dyDescent="0.25">
      <c r="B464" s="274" t="s">
        <v>408</v>
      </c>
      <c r="C464" s="275"/>
      <c r="D464" s="275"/>
      <c r="E464" s="275"/>
      <c r="F464" s="275"/>
      <c r="G464" s="275"/>
      <c r="H464" s="275"/>
      <c r="I464" s="275"/>
      <c r="J464" s="275"/>
      <c r="K464" s="275"/>
      <c r="L464" s="275"/>
      <c r="M464" s="276"/>
    </row>
    <row r="465" spans="2:13" x14ac:dyDescent="0.25">
      <c r="B465" s="3" t="s">
        <v>5502</v>
      </c>
      <c r="C465" s="232" t="s">
        <v>5580</v>
      </c>
      <c r="D465" s="232"/>
      <c r="E465" s="233" t="s">
        <v>5581</v>
      </c>
      <c r="F465" s="233"/>
      <c r="G465" s="268" t="s">
        <v>5582</v>
      </c>
      <c r="H465" s="268"/>
      <c r="I465" s="232" t="s">
        <v>5583</v>
      </c>
      <c r="J465" s="232"/>
      <c r="K465" s="232" t="s">
        <v>5584</v>
      </c>
      <c r="L465" s="232"/>
      <c r="M465" s="269"/>
    </row>
    <row r="466" spans="2:13" ht="15.75" thickBot="1" x14ac:dyDescent="0.3">
      <c r="B466" s="5" t="s">
        <v>5585</v>
      </c>
      <c r="C466" s="237" t="s">
        <v>5586</v>
      </c>
      <c r="D466" s="238"/>
      <c r="E466" s="266" t="s">
        <v>5587</v>
      </c>
      <c r="F466" s="266"/>
      <c r="G466" s="240" t="s">
        <v>5588</v>
      </c>
      <c r="H466" s="240"/>
      <c r="I466" s="240" t="s">
        <v>5589</v>
      </c>
      <c r="J466" s="240"/>
      <c r="K466" s="240" t="s">
        <v>5590</v>
      </c>
      <c r="L466" s="240"/>
      <c r="M466" s="267"/>
    </row>
    <row r="468" spans="2:13" ht="23.25" x14ac:dyDescent="0.35">
      <c r="B468" s="29" t="s">
        <v>334</v>
      </c>
      <c r="C468" s="229" t="s">
        <v>275</v>
      </c>
      <c r="D468" s="229"/>
      <c r="E468" s="229"/>
      <c r="F468" s="229"/>
      <c r="G468" s="229"/>
      <c r="H468" s="229"/>
      <c r="I468" s="229"/>
      <c r="J468" s="229"/>
      <c r="K468" s="229"/>
    </row>
    <row r="469" spans="2:13" ht="18" x14ac:dyDescent="0.25">
      <c r="B469" s="12" t="s">
        <v>335</v>
      </c>
      <c r="C469" s="1" t="s">
        <v>3949</v>
      </c>
      <c r="F469" s="228" t="s">
        <v>427</v>
      </c>
      <c r="G469" s="228"/>
      <c r="H469" s="1" t="s">
        <v>5337</v>
      </c>
      <c r="L469" s="12" t="s">
        <v>339</v>
      </c>
      <c r="M469" s="78" t="s">
        <v>5591</v>
      </c>
    </row>
    <row r="471" spans="2:13" x14ac:dyDescent="0.25">
      <c r="B471" s="2" t="s">
        <v>341</v>
      </c>
      <c r="C471" s="250" t="s">
        <v>430</v>
      </c>
      <c r="D471" s="250"/>
      <c r="E471" s="250" t="s">
        <v>805</v>
      </c>
      <c r="F471" s="250"/>
      <c r="G471" s="228" t="s">
        <v>345</v>
      </c>
      <c r="H471" s="228"/>
      <c r="I471" s="228"/>
      <c r="J471" s="228"/>
      <c r="K471" s="228"/>
      <c r="L471" s="228"/>
      <c r="M471" s="228"/>
    </row>
    <row r="473" spans="2:13" x14ac:dyDescent="0.25">
      <c r="B473" s="11" t="s">
        <v>652</v>
      </c>
      <c r="C473" s="252" t="s">
        <v>3792</v>
      </c>
      <c r="D473" s="252"/>
      <c r="E473" s="252" t="s">
        <v>5469</v>
      </c>
      <c r="F473" s="252"/>
      <c r="G473" s="14" t="s">
        <v>5592</v>
      </c>
      <c r="H473" s="14"/>
    </row>
    <row r="474" spans="2:13" x14ac:dyDescent="0.25">
      <c r="B474" s="11"/>
      <c r="C474" s="188"/>
      <c r="D474" s="188"/>
      <c r="E474" s="188"/>
      <c r="F474" s="188"/>
      <c r="G474" s="14" t="s">
        <v>5593</v>
      </c>
      <c r="H474" s="14"/>
    </row>
    <row r="475" spans="2:13" x14ac:dyDescent="0.25">
      <c r="B475" s="1" t="s">
        <v>1946</v>
      </c>
      <c r="C475" s="290" t="s">
        <v>1915</v>
      </c>
      <c r="D475" s="290"/>
      <c r="E475" s="290" t="s">
        <v>2613</v>
      </c>
      <c r="F475" s="290"/>
      <c r="G475" s="14" t="s">
        <v>5594</v>
      </c>
      <c r="H475" s="14"/>
    </row>
    <row r="476" spans="2:13" x14ac:dyDescent="0.25">
      <c r="B476" s="1"/>
      <c r="C476" s="189"/>
      <c r="D476" s="189"/>
      <c r="E476" s="189"/>
      <c r="F476" s="189"/>
      <c r="G476" s="14" t="s">
        <v>5595</v>
      </c>
      <c r="H476" s="14"/>
    </row>
    <row r="477" spans="2:13" x14ac:dyDescent="0.25">
      <c r="B477" s="11" t="s">
        <v>1840</v>
      </c>
      <c r="C477" s="323" t="s">
        <v>459</v>
      </c>
      <c r="D477" s="323"/>
      <c r="E477" s="323" t="s">
        <v>5596</v>
      </c>
      <c r="F477" s="323"/>
      <c r="G477" s="14" t="s">
        <v>5597</v>
      </c>
      <c r="H477" s="14"/>
    </row>
    <row r="478" spans="2:13" x14ac:dyDescent="0.25">
      <c r="B478" s="11"/>
      <c r="C478" s="252"/>
      <c r="D478" s="252"/>
      <c r="E478" s="252"/>
      <c r="F478" s="252"/>
      <c r="G478" s="14" t="s">
        <v>5598</v>
      </c>
      <c r="H478" s="14"/>
    </row>
    <row r="479" spans="2:13" x14ac:dyDescent="0.25">
      <c r="B479" s="1" t="s">
        <v>3906</v>
      </c>
      <c r="C479" s="255" t="s">
        <v>1645</v>
      </c>
      <c r="D479" s="255"/>
      <c r="E479" s="332" t="s">
        <v>657</v>
      </c>
      <c r="F479" s="332"/>
      <c r="G479" s="14" t="s">
        <v>5599</v>
      </c>
      <c r="H479" s="14"/>
    </row>
    <row r="480" spans="2:13" x14ac:dyDescent="0.25">
      <c r="B480" s="1"/>
      <c r="C480" s="191"/>
      <c r="D480" s="191"/>
      <c r="E480" s="191"/>
      <c r="F480" s="191"/>
      <c r="G480" s="14" t="s">
        <v>5600</v>
      </c>
      <c r="H480" s="14"/>
    </row>
    <row r="481" spans="2:13" x14ac:dyDescent="0.25">
      <c r="B481" s="11" t="s">
        <v>518</v>
      </c>
      <c r="C481" s="323" t="s">
        <v>5041</v>
      </c>
      <c r="D481" s="323"/>
      <c r="E481" s="323" t="s">
        <v>459</v>
      </c>
      <c r="F481" s="323"/>
      <c r="G481" s="14" t="s">
        <v>5601</v>
      </c>
    </row>
    <row r="482" spans="2:13" x14ac:dyDescent="0.25">
      <c r="B482" s="11"/>
      <c r="C482" s="188"/>
      <c r="D482" s="188"/>
      <c r="E482" s="188"/>
      <c r="F482" s="188"/>
      <c r="G482" s="14" t="s">
        <v>5602</v>
      </c>
    </row>
    <row r="483" spans="2:13" x14ac:dyDescent="0.25">
      <c r="B483" s="1" t="s">
        <v>5603</v>
      </c>
      <c r="C483" s="255" t="s">
        <v>391</v>
      </c>
      <c r="D483" s="255"/>
      <c r="E483" s="255" t="s">
        <v>374</v>
      </c>
      <c r="F483" s="255"/>
      <c r="G483" s="14" t="s">
        <v>5604</v>
      </c>
    </row>
    <row r="484" spans="2:13" x14ac:dyDescent="0.25">
      <c r="B484" s="1"/>
      <c r="C484" s="191"/>
      <c r="D484" s="191"/>
      <c r="E484" s="191"/>
      <c r="F484" s="191"/>
      <c r="G484" s="14" t="s">
        <v>5605</v>
      </c>
    </row>
    <row r="485" spans="2:13" x14ac:dyDescent="0.25">
      <c r="B485" s="11" t="s">
        <v>5606</v>
      </c>
      <c r="C485" s="323" t="s">
        <v>437</v>
      </c>
      <c r="D485" s="323"/>
      <c r="E485" s="323" t="s">
        <v>438</v>
      </c>
      <c r="F485" s="323"/>
      <c r="G485" s="14"/>
    </row>
    <row r="486" spans="2:13" x14ac:dyDescent="0.25">
      <c r="B486" s="11"/>
      <c r="C486" s="252"/>
      <c r="D486" s="252"/>
      <c r="E486" s="252"/>
      <c r="F486" s="252"/>
      <c r="G486" s="14"/>
    </row>
    <row r="487" spans="2:13" x14ac:dyDescent="0.25">
      <c r="B487" s="1" t="s">
        <v>5607</v>
      </c>
      <c r="C487" s="255" t="s">
        <v>5608</v>
      </c>
      <c r="D487" s="255"/>
      <c r="E487" s="255" t="s">
        <v>5609</v>
      </c>
      <c r="F487" s="255"/>
      <c r="G487" s="14"/>
      <c r="H487" s="14"/>
      <c r="I487" s="14"/>
    </row>
    <row r="488" spans="2:13" x14ac:dyDescent="0.25">
      <c r="B488" s="1"/>
      <c r="C488" s="191"/>
      <c r="D488" s="191"/>
      <c r="E488" s="191"/>
      <c r="F488" s="191"/>
      <c r="G488" s="14"/>
      <c r="H488" s="14"/>
      <c r="I488" s="14"/>
    </row>
    <row r="489" spans="2:13" x14ac:dyDescent="0.25">
      <c r="B489" s="11" t="s">
        <v>5610</v>
      </c>
      <c r="C489" s="252" t="s">
        <v>5611</v>
      </c>
      <c r="D489" s="252"/>
      <c r="E489" s="252" t="s">
        <v>462</v>
      </c>
      <c r="F489" s="252"/>
      <c r="G489" s="14"/>
      <c r="H489" s="14"/>
      <c r="I489" s="14"/>
    </row>
    <row r="490" spans="2:13" ht="15.75" thickBot="1" x14ac:dyDescent="0.3">
      <c r="B490" s="11"/>
      <c r="C490" s="188"/>
      <c r="D490" s="188"/>
      <c r="E490" s="188"/>
      <c r="F490" s="188"/>
      <c r="G490" s="14"/>
      <c r="H490" s="14"/>
    </row>
    <row r="491" spans="2:13" x14ac:dyDescent="0.25">
      <c r="B491" s="274" t="s">
        <v>401</v>
      </c>
      <c r="C491" s="275"/>
      <c r="D491" s="275"/>
      <c r="E491" s="275"/>
      <c r="F491" s="275"/>
      <c r="G491" s="275"/>
      <c r="H491" s="275"/>
      <c r="I491" s="275"/>
      <c r="J491" s="275"/>
      <c r="K491" s="275"/>
      <c r="L491" s="275"/>
      <c r="M491" s="276"/>
    </row>
    <row r="492" spans="2:13" x14ac:dyDescent="0.25">
      <c r="B492" s="3" t="s">
        <v>402</v>
      </c>
      <c r="C492" s="232" t="s">
        <v>403</v>
      </c>
      <c r="D492" s="232"/>
      <c r="E492" s="232" t="s">
        <v>467</v>
      </c>
      <c r="F492" s="232"/>
      <c r="G492" s="232" t="s">
        <v>405</v>
      </c>
      <c r="H492" s="232"/>
      <c r="I492" s="232" t="s">
        <v>406</v>
      </c>
      <c r="J492" s="232"/>
      <c r="K492" s="234" t="s">
        <v>468</v>
      </c>
      <c r="L492" s="235"/>
      <c r="M492" s="236"/>
    </row>
    <row r="493" spans="2:13" ht="15.75" thickBot="1" x14ac:dyDescent="0.3">
      <c r="B493" s="5"/>
      <c r="C493" s="237">
        <v>1</v>
      </c>
      <c r="D493" s="238"/>
      <c r="E493" s="239">
        <v>5.5E-2</v>
      </c>
      <c r="F493" s="238"/>
      <c r="G493" s="240"/>
      <c r="H493" s="240"/>
      <c r="I493" s="241"/>
      <c r="J493" s="241"/>
      <c r="K493" s="242"/>
      <c r="L493" s="243"/>
      <c r="M493" s="244"/>
    </row>
    <row r="494" spans="2:13" ht="15.75" thickBot="1" x14ac:dyDescent="0.3">
      <c r="B494" s="1"/>
      <c r="C494" s="1"/>
      <c r="D494" s="1"/>
      <c r="E494" s="1"/>
      <c r="F494" s="1"/>
      <c r="G494" s="1"/>
      <c r="H494" s="1"/>
    </row>
    <row r="495" spans="2:13" x14ac:dyDescent="0.25">
      <c r="B495" s="274" t="s">
        <v>408</v>
      </c>
      <c r="C495" s="275"/>
      <c r="D495" s="275"/>
      <c r="E495" s="275"/>
      <c r="F495" s="275"/>
      <c r="G495" s="275"/>
      <c r="H495" s="275"/>
      <c r="I495" s="275"/>
      <c r="J495" s="275"/>
      <c r="K495" s="275"/>
      <c r="L495" s="275"/>
      <c r="M495" s="276"/>
    </row>
    <row r="496" spans="2:13" x14ac:dyDescent="0.25">
      <c r="B496" s="3" t="s">
        <v>5612</v>
      </c>
      <c r="C496" s="232" t="s">
        <v>470</v>
      </c>
      <c r="D496" s="232"/>
      <c r="E496" s="268" t="s">
        <v>1993</v>
      </c>
      <c r="F496" s="268"/>
      <c r="G496" s="232" t="s">
        <v>5613</v>
      </c>
      <c r="H496" s="232"/>
      <c r="I496" s="232" t="s">
        <v>5614</v>
      </c>
      <c r="J496" s="232"/>
      <c r="K496" s="232" t="s">
        <v>4787</v>
      </c>
      <c r="L496" s="232"/>
      <c r="M496" s="269"/>
    </row>
    <row r="497" spans="2:13" ht="15.75" thickBot="1" x14ac:dyDescent="0.3">
      <c r="B497" s="5" t="s">
        <v>915</v>
      </c>
      <c r="C497" s="237" t="s">
        <v>5615</v>
      </c>
      <c r="D497" s="238"/>
      <c r="E497" s="240" t="s">
        <v>5616</v>
      </c>
      <c r="F497" s="240"/>
      <c r="G497" s="240" t="s">
        <v>5617</v>
      </c>
      <c r="H497" s="240"/>
      <c r="I497" s="240" t="s">
        <v>4647</v>
      </c>
      <c r="J497" s="240"/>
      <c r="K497" s="240" t="s">
        <v>5618</v>
      </c>
      <c r="L497" s="240"/>
      <c r="M497" s="267"/>
    </row>
    <row r="499" spans="2:13" ht="23.25" x14ac:dyDescent="0.35">
      <c r="B499" s="29" t="s">
        <v>334</v>
      </c>
      <c r="C499" s="229" t="s">
        <v>295</v>
      </c>
      <c r="D499" s="229"/>
      <c r="E499" s="229"/>
      <c r="F499" s="229"/>
      <c r="G499" s="229"/>
      <c r="H499" s="229"/>
      <c r="I499" s="229"/>
      <c r="J499" s="229"/>
      <c r="K499" s="229"/>
    </row>
    <row r="500" spans="2:13" ht="18" x14ac:dyDescent="0.25">
      <c r="B500" s="12" t="s">
        <v>335</v>
      </c>
      <c r="C500" s="1" t="s">
        <v>3949</v>
      </c>
      <c r="F500" s="228" t="s">
        <v>427</v>
      </c>
      <c r="G500" s="228"/>
      <c r="H500" s="1" t="s">
        <v>508</v>
      </c>
      <c r="L500" s="12" t="s">
        <v>339</v>
      </c>
      <c r="M500" s="78" t="s">
        <v>5619</v>
      </c>
    </row>
    <row r="502" spans="2:13" x14ac:dyDescent="0.25">
      <c r="B502" s="2" t="s">
        <v>341</v>
      </c>
      <c r="C502" s="250" t="s">
        <v>3741</v>
      </c>
      <c r="D502" s="250"/>
      <c r="E502" s="250" t="s">
        <v>4382</v>
      </c>
      <c r="F502" s="250"/>
      <c r="G502" s="228" t="s">
        <v>345</v>
      </c>
      <c r="H502" s="228"/>
      <c r="I502" s="228"/>
      <c r="J502" s="228"/>
      <c r="K502" s="228"/>
      <c r="L502" s="228"/>
      <c r="M502" s="228"/>
    </row>
    <row r="504" spans="2:13" x14ac:dyDescent="0.25">
      <c r="B504" s="11" t="s">
        <v>5620</v>
      </c>
      <c r="C504" s="252" t="s">
        <v>5621</v>
      </c>
      <c r="D504" s="252"/>
      <c r="E504" s="252" t="s">
        <v>3760</v>
      </c>
      <c r="F504" s="252"/>
      <c r="G504" s="14" t="s">
        <v>5622</v>
      </c>
      <c r="H504" s="14"/>
    </row>
    <row r="505" spans="2:13" x14ac:dyDescent="0.25">
      <c r="B505" s="11"/>
      <c r="C505" s="188"/>
      <c r="D505" s="188"/>
      <c r="E505" s="188"/>
      <c r="F505" s="188"/>
      <c r="G505" s="14" t="s">
        <v>5623</v>
      </c>
      <c r="H505" s="14"/>
    </row>
    <row r="506" spans="2:13" x14ac:dyDescent="0.25">
      <c r="B506" s="1" t="s">
        <v>848</v>
      </c>
      <c r="C506" s="290" t="s">
        <v>5624</v>
      </c>
      <c r="D506" s="290"/>
      <c r="E506" s="290" t="s">
        <v>2637</v>
      </c>
      <c r="F506" s="290"/>
      <c r="G506" s="14" t="s">
        <v>5625</v>
      </c>
      <c r="H506" s="14"/>
    </row>
    <row r="507" spans="2:13" x14ac:dyDescent="0.25">
      <c r="B507" s="1"/>
      <c r="C507" s="189"/>
      <c r="D507" s="189"/>
      <c r="E507" s="189"/>
      <c r="F507" s="189"/>
      <c r="G507" s="14"/>
      <c r="H507" s="14"/>
    </row>
    <row r="508" spans="2:13" x14ac:dyDescent="0.25">
      <c r="B508" s="11" t="s">
        <v>660</v>
      </c>
      <c r="C508" s="323" t="s">
        <v>390</v>
      </c>
      <c r="D508" s="323"/>
      <c r="E508" s="323" t="s">
        <v>392</v>
      </c>
      <c r="F508" s="323"/>
      <c r="G508" s="14"/>
      <c r="H508" s="14"/>
    </row>
    <row r="509" spans="2:13" x14ac:dyDescent="0.25">
      <c r="B509" s="11"/>
      <c r="C509" s="252"/>
      <c r="D509" s="252"/>
      <c r="E509" s="252"/>
      <c r="F509" s="252"/>
      <c r="G509" s="14"/>
      <c r="H509" s="14"/>
    </row>
    <row r="510" spans="2:13" x14ac:dyDescent="0.25">
      <c r="B510" s="1" t="s">
        <v>3833</v>
      </c>
      <c r="C510" s="255" t="s">
        <v>744</v>
      </c>
      <c r="D510" s="255"/>
      <c r="E510" s="332" t="s">
        <v>487</v>
      </c>
      <c r="F510" s="332"/>
      <c r="G510" s="14"/>
      <c r="H510" s="14"/>
    </row>
    <row r="511" spans="2:13" x14ac:dyDescent="0.25">
      <c r="B511" s="1"/>
      <c r="C511" s="191"/>
      <c r="D511" s="191"/>
      <c r="E511" s="191"/>
      <c r="F511" s="191"/>
      <c r="G511" s="14"/>
      <c r="H511" s="14"/>
    </row>
    <row r="512" spans="2:13" x14ac:dyDescent="0.25">
      <c r="B512" s="11" t="s">
        <v>3836</v>
      </c>
      <c r="C512" s="323" t="s">
        <v>2062</v>
      </c>
      <c r="D512" s="323"/>
      <c r="E512" s="323" t="s">
        <v>3835</v>
      </c>
      <c r="F512" s="323"/>
      <c r="G512" s="14"/>
    </row>
    <row r="513" spans="2:13" x14ac:dyDescent="0.25">
      <c r="B513" s="11"/>
      <c r="C513" s="188"/>
      <c r="D513" s="188"/>
      <c r="E513" s="188"/>
      <c r="F513" s="188"/>
      <c r="G513" s="14"/>
    </row>
    <row r="514" spans="2:13" x14ac:dyDescent="0.25">
      <c r="B514" s="1" t="s">
        <v>3834</v>
      </c>
      <c r="C514" s="255" t="s">
        <v>2062</v>
      </c>
      <c r="D514" s="255"/>
      <c r="E514" s="255" t="s">
        <v>3835</v>
      </c>
      <c r="F514" s="255"/>
      <c r="G514" s="14"/>
    </row>
    <row r="515" spans="2:13" ht="15.75" thickBot="1" x14ac:dyDescent="0.3">
      <c r="B515" s="1"/>
      <c r="C515" s="191"/>
      <c r="D515" s="191"/>
      <c r="E515" s="191"/>
      <c r="F515" s="191"/>
      <c r="G515" s="14"/>
    </row>
    <row r="516" spans="2:13" x14ac:dyDescent="0.25">
      <c r="B516" s="274" t="s">
        <v>401</v>
      </c>
      <c r="C516" s="275"/>
      <c r="D516" s="275"/>
      <c r="E516" s="275"/>
      <c r="F516" s="275"/>
      <c r="G516" s="275"/>
      <c r="H516" s="275"/>
      <c r="I516" s="275"/>
      <c r="J516" s="275"/>
      <c r="K516" s="275"/>
      <c r="L516" s="275"/>
      <c r="M516" s="276"/>
    </row>
    <row r="517" spans="2:13" x14ac:dyDescent="0.25">
      <c r="B517" s="3" t="s">
        <v>402</v>
      </c>
      <c r="C517" s="232" t="s">
        <v>403</v>
      </c>
      <c r="D517" s="232"/>
      <c r="E517" s="232" t="s">
        <v>467</v>
      </c>
      <c r="F517" s="232"/>
      <c r="G517" s="232" t="s">
        <v>405</v>
      </c>
      <c r="H517" s="232"/>
      <c r="I517" s="232" t="s">
        <v>406</v>
      </c>
      <c r="J517" s="232"/>
      <c r="K517" s="234" t="s">
        <v>468</v>
      </c>
      <c r="L517" s="235"/>
      <c r="M517" s="236"/>
    </row>
    <row r="518" spans="2:13" ht="15.75" thickBot="1" x14ac:dyDescent="0.3">
      <c r="B518" s="5"/>
      <c r="C518" s="237"/>
      <c r="D518" s="238"/>
      <c r="E518" s="239"/>
      <c r="F518" s="238"/>
      <c r="G518" s="240">
        <v>0.25</v>
      </c>
      <c r="H518" s="240"/>
      <c r="I518" s="241"/>
      <c r="J518" s="241"/>
      <c r="K518" s="242"/>
      <c r="L518" s="243"/>
      <c r="M518" s="244"/>
    </row>
    <row r="519" spans="2:13" ht="15.75" thickBot="1" x14ac:dyDescent="0.3">
      <c r="B519" s="1"/>
      <c r="C519" s="1"/>
      <c r="D519" s="1"/>
      <c r="E519" s="1"/>
      <c r="F519" s="1"/>
      <c r="G519" s="1"/>
      <c r="H519" s="1"/>
    </row>
    <row r="520" spans="2:13" x14ac:dyDescent="0.25">
      <c r="B520" s="274" t="s">
        <v>408</v>
      </c>
      <c r="C520" s="275"/>
      <c r="D520" s="275"/>
      <c r="E520" s="275"/>
      <c r="F520" s="275"/>
      <c r="G520" s="275"/>
      <c r="H520" s="275"/>
      <c r="I520" s="275"/>
      <c r="J520" s="275"/>
      <c r="K520" s="275"/>
      <c r="L520" s="275"/>
      <c r="M520" s="276"/>
    </row>
    <row r="521" spans="2:13" x14ac:dyDescent="0.25">
      <c r="B521" s="3" t="s">
        <v>5626</v>
      </c>
      <c r="C521" s="232" t="s">
        <v>5627</v>
      </c>
      <c r="D521" s="232"/>
      <c r="E521" s="233" t="s">
        <v>5628</v>
      </c>
      <c r="F521" s="233"/>
      <c r="G521" s="232" t="s">
        <v>692</v>
      </c>
      <c r="H521" s="232"/>
      <c r="I521" s="232" t="s">
        <v>5629</v>
      </c>
      <c r="J521" s="232"/>
      <c r="K521" s="232" t="s">
        <v>5630</v>
      </c>
      <c r="L521" s="232"/>
      <c r="M521" s="269"/>
    </row>
    <row r="522" spans="2:13" ht="15.75" thickBot="1" x14ac:dyDescent="0.3">
      <c r="B522" s="5" t="s">
        <v>915</v>
      </c>
      <c r="C522" s="237" t="s">
        <v>5631</v>
      </c>
      <c r="D522" s="238"/>
      <c r="E522" s="240" t="s">
        <v>5632</v>
      </c>
      <c r="F522" s="240"/>
      <c r="G522" s="240" t="s">
        <v>5633</v>
      </c>
      <c r="H522" s="240"/>
      <c r="I522" s="240" t="s">
        <v>5634</v>
      </c>
      <c r="J522" s="240"/>
      <c r="K522" s="240" t="s">
        <v>4281</v>
      </c>
      <c r="L522" s="240"/>
      <c r="M522" s="267"/>
    </row>
    <row r="524" spans="2:13" ht="23.25" x14ac:dyDescent="0.35">
      <c r="B524" s="29" t="s">
        <v>334</v>
      </c>
      <c r="C524" s="229" t="s">
        <v>297</v>
      </c>
      <c r="D524" s="229"/>
      <c r="E524" s="229"/>
      <c r="F524" s="229"/>
      <c r="G524" s="229"/>
      <c r="H524" s="229"/>
      <c r="I524" s="229"/>
      <c r="J524" s="229"/>
      <c r="K524" s="229"/>
    </row>
    <row r="525" spans="2:13" ht="18" x14ac:dyDescent="0.25">
      <c r="B525" s="12" t="s">
        <v>335</v>
      </c>
      <c r="C525" s="1" t="s">
        <v>5523</v>
      </c>
      <c r="F525" s="228" t="s">
        <v>427</v>
      </c>
      <c r="G525" s="228"/>
      <c r="H525" s="1" t="s">
        <v>744</v>
      </c>
      <c r="L525" s="12" t="s">
        <v>339</v>
      </c>
      <c r="M525" s="78" t="s">
        <v>5635</v>
      </c>
    </row>
    <row r="527" spans="2:13" x14ac:dyDescent="0.25">
      <c r="B527" s="2" t="s">
        <v>341</v>
      </c>
      <c r="C527" s="250" t="s">
        <v>430</v>
      </c>
      <c r="D527" s="250"/>
      <c r="E527" s="250" t="s">
        <v>805</v>
      </c>
      <c r="F527" s="250"/>
      <c r="G527" s="228" t="s">
        <v>345</v>
      </c>
      <c r="H527" s="228"/>
      <c r="I527" s="228"/>
      <c r="J527" s="228"/>
      <c r="K527" s="228"/>
      <c r="L527" s="228"/>
      <c r="M527" s="228"/>
    </row>
    <row r="529" spans="2:13" x14ac:dyDescent="0.25">
      <c r="B529" s="11" t="s">
        <v>5636</v>
      </c>
      <c r="C529" s="252" t="s">
        <v>513</v>
      </c>
      <c r="D529" s="252"/>
      <c r="E529" s="252" t="s">
        <v>517</v>
      </c>
      <c r="F529" s="252"/>
      <c r="G529" s="14" t="s">
        <v>5637</v>
      </c>
      <c r="H529" s="14"/>
    </row>
    <row r="530" spans="2:13" x14ac:dyDescent="0.25">
      <c r="B530" s="11"/>
      <c r="C530" s="188"/>
      <c r="D530" s="188"/>
      <c r="E530" s="188"/>
      <c r="F530" s="188"/>
      <c r="G530" s="14" t="s">
        <v>5638</v>
      </c>
      <c r="H530" s="14"/>
    </row>
    <row r="531" spans="2:13" x14ac:dyDescent="0.25">
      <c r="B531" s="1" t="s">
        <v>5639</v>
      </c>
      <c r="C531" s="290" t="s">
        <v>508</v>
      </c>
      <c r="D531" s="290"/>
      <c r="E531" s="290" t="s">
        <v>390</v>
      </c>
      <c r="F531" s="290"/>
      <c r="G531" s="14" t="s">
        <v>5640</v>
      </c>
      <c r="H531" s="14"/>
    </row>
    <row r="532" spans="2:13" x14ac:dyDescent="0.25">
      <c r="B532" s="1"/>
      <c r="C532" s="189"/>
      <c r="D532" s="189"/>
      <c r="E532" s="189"/>
      <c r="F532" s="189"/>
      <c r="G532" s="14" t="s">
        <v>5641</v>
      </c>
      <c r="H532" s="14"/>
    </row>
    <row r="533" spans="2:13" x14ac:dyDescent="0.25">
      <c r="B533" s="11" t="s">
        <v>5322</v>
      </c>
      <c r="C533" s="323" t="s">
        <v>5384</v>
      </c>
      <c r="D533" s="323"/>
      <c r="E533" s="323" t="s">
        <v>355</v>
      </c>
      <c r="F533" s="323"/>
      <c r="G533" s="14" t="s">
        <v>5642</v>
      </c>
      <c r="H533" s="14"/>
    </row>
    <row r="534" spans="2:13" x14ac:dyDescent="0.25">
      <c r="B534" s="11" t="s">
        <v>859</v>
      </c>
      <c r="C534" s="252"/>
      <c r="D534" s="252"/>
      <c r="E534" s="252"/>
      <c r="F534" s="252"/>
      <c r="G534" s="14" t="s">
        <v>5643</v>
      </c>
      <c r="H534" s="14"/>
    </row>
    <row r="535" spans="2:13" x14ac:dyDescent="0.25">
      <c r="B535" s="1" t="s">
        <v>397</v>
      </c>
      <c r="C535" s="255" t="s">
        <v>395</v>
      </c>
      <c r="D535" s="255"/>
      <c r="E535" s="332" t="s">
        <v>383</v>
      </c>
      <c r="F535" s="332"/>
      <c r="G535" s="14" t="s">
        <v>5644</v>
      </c>
      <c r="H535" s="14"/>
    </row>
    <row r="536" spans="2:13" x14ac:dyDescent="0.25">
      <c r="B536" s="1"/>
      <c r="C536" s="191"/>
      <c r="D536" s="191"/>
      <c r="E536" s="191"/>
      <c r="F536" s="191"/>
      <c r="G536" s="14" t="s">
        <v>5645</v>
      </c>
      <c r="H536" s="14"/>
    </row>
    <row r="537" spans="2:13" x14ac:dyDescent="0.25">
      <c r="B537" s="11" t="s">
        <v>660</v>
      </c>
      <c r="C537" s="323" t="s">
        <v>1326</v>
      </c>
      <c r="D537" s="323"/>
      <c r="E537" s="323" t="s">
        <v>786</v>
      </c>
      <c r="F537" s="323"/>
      <c r="G537" s="14" t="s">
        <v>5646</v>
      </c>
    </row>
    <row r="538" spans="2:13" x14ac:dyDescent="0.25">
      <c r="B538" s="11"/>
      <c r="C538" s="188"/>
      <c r="D538" s="188"/>
      <c r="E538" s="188"/>
      <c r="F538" s="188"/>
      <c r="G538" s="14" t="s">
        <v>5647</v>
      </c>
    </row>
    <row r="539" spans="2:13" x14ac:dyDescent="0.25">
      <c r="B539" s="1" t="s">
        <v>518</v>
      </c>
      <c r="C539" s="255" t="s">
        <v>3835</v>
      </c>
      <c r="D539" s="255"/>
      <c r="E539" s="255" t="s">
        <v>516</v>
      </c>
      <c r="F539" s="255"/>
      <c r="G539" s="14"/>
    </row>
    <row r="540" spans="2:13" x14ac:dyDescent="0.25">
      <c r="B540" s="1"/>
      <c r="C540" s="191"/>
      <c r="D540" s="191"/>
      <c r="E540" s="191"/>
      <c r="F540" s="191"/>
      <c r="G540" s="14"/>
    </row>
    <row r="541" spans="2:13" x14ac:dyDescent="0.25">
      <c r="B541" s="11" t="s">
        <v>3728</v>
      </c>
      <c r="C541" s="252" t="s">
        <v>513</v>
      </c>
      <c r="D541" s="252"/>
      <c r="E541" s="252" t="s">
        <v>517</v>
      </c>
      <c r="F541" s="252"/>
      <c r="G541" s="14"/>
    </row>
    <row r="542" spans="2:13" ht="15.75" thickBot="1" x14ac:dyDescent="0.3">
      <c r="B542" s="11"/>
      <c r="C542" s="188"/>
      <c r="D542" s="188"/>
      <c r="E542" s="188"/>
      <c r="F542" s="188"/>
      <c r="G542" s="14"/>
    </row>
    <row r="543" spans="2:13" x14ac:dyDescent="0.25">
      <c r="B543" s="274" t="s">
        <v>401</v>
      </c>
      <c r="C543" s="275"/>
      <c r="D543" s="275"/>
      <c r="E543" s="275"/>
      <c r="F543" s="275"/>
      <c r="G543" s="275"/>
      <c r="H543" s="275"/>
      <c r="I543" s="275"/>
      <c r="J543" s="275"/>
      <c r="K543" s="275"/>
      <c r="L543" s="275"/>
      <c r="M543" s="276"/>
    </row>
    <row r="544" spans="2:13" x14ac:dyDescent="0.25">
      <c r="B544" s="3" t="s">
        <v>402</v>
      </c>
      <c r="C544" s="232" t="s">
        <v>403</v>
      </c>
      <c r="D544" s="232"/>
      <c r="E544" s="232" t="s">
        <v>467</v>
      </c>
      <c r="F544" s="232"/>
      <c r="G544" s="232" t="s">
        <v>405</v>
      </c>
      <c r="H544" s="232"/>
      <c r="I544" s="232" t="s">
        <v>406</v>
      </c>
      <c r="J544" s="232"/>
      <c r="K544" s="234" t="s">
        <v>468</v>
      </c>
      <c r="L544" s="235"/>
      <c r="M544" s="236"/>
    </row>
    <row r="545" spans="2:13" ht="15.75" thickBot="1" x14ac:dyDescent="0.3">
      <c r="B545" s="5"/>
      <c r="C545" s="237"/>
      <c r="D545" s="238"/>
      <c r="E545" s="239"/>
      <c r="F545" s="238"/>
      <c r="G545" s="240"/>
      <c r="H545" s="240"/>
      <c r="I545" s="241"/>
      <c r="J545" s="241"/>
      <c r="K545" s="242"/>
      <c r="L545" s="243"/>
      <c r="M545" s="244"/>
    </row>
    <row r="546" spans="2:13" ht="15.75" thickBot="1" x14ac:dyDescent="0.3">
      <c r="B546" s="1"/>
      <c r="C546" s="1"/>
      <c r="D546" s="1"/>
      <c r="E546" s="1"/>
      <c r="F546" s="1"/>
      <c r="G546" s="1"/>
      <c r="H546" s="1"/>
    </row>
    <row r="547" spans="2:13" x14ac:dyDescent="0.25">
      <c r="B547" s="274" t="s">
        <v>408</v>
      </c>
      <c r="C547" s="275"/>
      <c r="D547" s="275"/>
      <c r="E547" s="275"/>
      <c r="F547" s="275"/>
      <c r="G547" s="275"/>
      <c r="H547" s="275"/>
      <c r="I547" s="275"/>
      <c r="J547" s="275"/>
      <c r="K547" s="275"/>
      <c r="L547" s="275"/>
      <c r="M547" s="276"/>
    </row>
    <row r="548" spans="2:13" x14ac:dyDescent="0.25">
      <c r="B548" s="3" t="s">
        <v>5648</v>
      </c>
      <c r="C548" s="232" t="s">
        <v>5649</v>
      </c>
      <c r="D548" s="232"/>
      <c r="E548" s="233" t="s">
        <v>4593</v>
      </c>
      <c r="F548" s="233"/>
      <c r="G548" s="232" t="s">
        <v>692</v>
      </c>
      <c r="H548" s="232"/>
      <c r="I548" s="232" t="s">
        <v>5650</v>
      </c>
      <c r="J548" s="232"/>
      <c r="K548" s="232" t="s">
        <v>5651</v>
      </c>
      <c r="L548" s="232"/>
      <c r="M548" s="269"/>
    </row>
    <row r="549" spans="2:13" ht="15.75" thickBot="1" x14ac:dyDescent="0.3">
      <c r="B549" s="5" t="s">
        <v>3866</v>
      </c>
      <c r="C549" s="237" t="s">
        <v>5652</v>
      </c>
      <c r="D549" s="238"/>
      <c r="E549" s="240" t="s">
        <v>5257</v>
      </c>
      <c r="F549" s="240"/>
      <c r="G549" s="240" t="s">
        <v>5653</v>
      </c>
      <c r="H549" s="240"/>
      <c r="I549" s="240" t="s">
        <v>3846</v>
      </c>
      <c r="J549" s="240"/>
      <c r="K549" s="240" t="s">
        <v>5654</v>
      </c>
      <c r="L549" s="240"/>
      <c r="M549" s="267"/>
    </row>
    <row r="551" spans="2:13" ht="23.25" x14ac:dyDescent="0.35">
      <c r="B551" s="29" t="s">
        <v>334</v>
      </c>
      <c r="C551" s="295" t="s">
        <v>5655</v>
      </c>
      <c r="D551" s="295"/>
      <c r="E551" s="295"/>
      <c r="F551" s="295"/>
      <c r="G551" s="295"/>
    </row>
    <row r="552" spans="2:13" ht="18.75" x14ac:dyDescent="0.3">
      <c r="B552" s="12" t="s">
        <v>335</v>
      </c>
      <c r="C552" s="1" t="s">
        <v>3949</v>
      </c>
      <c r="F552" s="228" t="s">
        <v>427</v>
      </c>
      <c r="G552" s="228"/>
      <c r="H552" s="1" t="s">
        <v>3617</v>
      </c>
      <c r="L552" s="12" t="s">
        <v>339</v>
      </c>
      <c r="M552" s="6" t="s">
        <v>5656</v>
      </c>
    </row>
    <row r="554" spans="2:13" x14ac:dyDescent="0.25">
      <c r="B554" s="2" t="s">
        <v>341</v>
      </c>
      <c r="C554" s="250" t="s">
        <v>429</v>
      </c>
      <c r="D554" s="250"/>
      <c r="E554" s="250" t="s">
        <v>430</v>
      </c>
      <c r="F554" s="250"/>
      <c r="G554" s="228" t="s">
        <v>345</v>
      </c>
      <c r="H554" s="228"/>
      <c r="I554" s="228"/>
      <c r="J554" s="228"/>
      <c r="K554" s="228"/>
      <c r="L554" s="228"/>
      <c r="M554" s="228"/>
    </row>
    <row r="556" spans="2:13" x14ac:dyDescent="0.25">
      <c r="B556" s="13" t="s">
        <v>665</v>
      </c>
      <c r="C556" s="252" t="s">
        <v>491</v>
      </c>
      <c r="D556" s="252"/>
      <c r="E556" s="252" t="s">
        <v>742</v>
      </c>
      <c r="F556" s="252"/>
      <c r="G556" s="14" t="s">
        <v>655</v>
      </c>
      <c r="H556" s="14"/>
    </row>
    <row r="557" spans="2:13" x14ac:dyDescent="0.25">
      <c r="B557" s="13"/>
      <c r="C557" s="188"/>
      <c r="D557" s="188"/>
      <c r="E557" s="188"/>
      <c r="F557" s="188"/>
      <c r="G557" s="14" t="s">
        <v>5657</v>
      </c>
      <c r="H557" s="14"/>
    </row>
    <row r="558" spans="2:13" x14ac:dyDescent="0.25">
      <c r="B558" s="14" t="s">
        <v>5228</v>
      </c>
      <c r="C558" s="290" t="s">
        <v>1194</v>
      </c>
      <c r="D558" s="290"/>
      <c r="E558" s="290" t="s">
        <v>602</v>
      </c>
      <c r="F558" s="290"/>
      <c r="G558" s="14" t="s">
        <v>5658</v>
      </c>
      <c r="H558" s="14"/>
    </row>
    <row r="559" spans="2:13" x14ac:dyDescent="0.25">
      <c r="B559" s="14"/>
      <c r="C559" s="189"/>
      <c r="D559" s="189"/>
      <c r="E559" s="189"/>
      <c r="F559" s="189"/>
      <c r="G559" s="14" t="s">
        <v>5659</v>
      </c>
      <c r="H559" s="14"/>
    </row>
    <row r="560" spans="2:13" x14ac:dyDescent="0.25">
      <c r="B560" s="13" t="s">
        <v>1946</v>
      </c>
      <c r="C560" s="252" t="s">
        <v>2103</v>
      </c>
      <c r="D560" s="252"/>
      <c r="E560" s="323" t="s">
        <v>1915</v>
      </c>
      <c r="F560" s="323"/>
      <c r="G560" s="14" t="s">
        <v>5660</v>
      </c>
      <c r="H560" s="14"/>
    </row>
    <row r="561" spans="2:9" x14ac:dyDescent="0.25">
      <c r="B561" s="13"/>
      <c r="C561" s="188"/>
      <c r="D561" s="188"/>
      <c r="E561" s="188"/>
      <c r="F561" s="188"/>
      <c r="G561" s="14" t="s">
        <v>5661</v>
      </c>
      <c r="H561" s="14"/>
    </row>
    <row r="562" spans="2:9" x14ac:dyDescent="0.25">
      <c r="B562" s="14" t="s">
        <v>652</v>
      </c>
      <c r="C562" s="290" t="s">
        <v>5662</v>
      </c>
      <c r="D562" s="290"/>
      <c r="E562" s="290" t="s">
        <v>5663</v>
      </c>
      <c r="F562" s="290"/>
      <c r="G562" s="14" t="s">
        <v>5664</v>
      </c>
      <c r="H562" s="14"/>
    </row>
    <row r="563" spans="2:9" x14ac:dyDescent="0.25">
      <c r="B563" s="14"/>
      <c r="C563" s="189"/>
      <c r="D563" s="189"/>
      <c r="E563" s="189"/>
      <c r="F563" s="189"/>
      <c r="G563" s="14" t="s">
        <v>5665</v>
      </c>
      <c r="H563" s="14"/>
    </row>
    <row r="564" spans="2:9" x14ac:dyDescent="0.25">
      <c r="B564" s="13" t="s">
        <v>660</v>
      </c>
      <c r="C564" s="252" t="s">
        <v>392</v>
      </c>
      <c r="D564" s="252"/>
      <c r="E564" s="252" t="s">
        <v>789</v>
      </c>
      <c r="F564" s="252"/>
      <c r="G564" s="14" t="s">
        <v>5666</v>
      </c>
    </row>
    <row r="565" spans="2:9" x14ac:dyDescent="0.25">
      <c r="B565" s="13"/>
      <c r="C565" s="188"/>
      <c r="D565" s="188"/>
      <c r="E565" s="188"/>
      <c r="F565" s="188"/>
      <c r="G565" s="14" t="s">
        <v>5667</v>
      </c>
    </row>
    <row r="566" spans="2:9" x14ac:dyDescent="0.25">
      <c r="B566" s="14" t="s">
        <v>518</v>
      </c>
      <c r="C566" s="290" t="s">
        <v>513</v>
      </c>
      <c r="D566" s="290"/>
      <c r="E566" s="290" t="s">
        <v>517</v>
      </c>
      <c r="F566" s="290"/>
      <c r="G566" s="14" t="s">
        <v>5668</v>
      </c>
    </row>
    <row r="567" spans="2:9" x14ac:dyDescent="0.25">
      <c r="B567" s="14"/>
      <c r="C567" s="189"/>
      <c r="D567" s="189"/>
      <c r="E567" s="189"/>
      <c r="F567" s="189"/>
      <c r="G567" s="14" t="s">
        <v>5669</v>
      </c>
    </row>
    <row r="568" spans="2:9" x14ac:dyDescent="0.25">
      <c r="B568" s="13" t="s">
        <v>2872</v>
      </c>
      <c r="C568" s="252" t="s">
        <v>2158</v>
      </c>
      <c r="D568" s="252"/>
      <c r="E568" s="252" t="s">
        <v>1531</v>
      </c>
      <c r="F568" s="252"/>
      <c r="G568" s="14" t="s">
        <v>5670</v>
      </c>
    </row>
    <row r="569" spans="2:9" x14ac:dyDescent="0.25">
      <c r="B569" s="13"/>
      <c r="C569" s="188"/>
      <c r="D569" s="188"/>
      <c r="E569" s="188"/>
      <c r="F569" s="188"/>
      <c r="G569" s="14" t="s">
        <v>5671</v>
      </c>
    </row>
    <row r="570" spans="2:9" x14ac:dyDescent="0.25">
      <c r="B570" s="14" t="s">
        <v>1966</v>
      </c>
      <c r="C570" s="290" t="s">
        <v>549</v>
      </c>
      <c r="D570" s="290"/>
      <c r="E570" s="290" t="s">
        <v>881</v>
      </c>
      <c r="F570" s="290"/>
      <c r="G570" s="14" t="s">
        <v>5672</v>
      </c>
    </row>
    <row r="571" spans="2:9" x14ac:dyDescent="0.25">
      <c r="B571" s="14"/>
      <c r="C571" s="189"/>
      <c r="D571" s="189"/>
      <c r="E571" s="189"/>
      <c r="F571" s="189"/>
      <c r="G571" s="14" t="s">
        <v>5673</v>
      </c>
      <c r="I571" s="14"/>
    </row>
    <row r="572" spans="2:9" x14ac:dyDescent="0.25">
      <c r="B572" s="31"/>
      <c r="C572" s="255"/>
      <c r="D572" s="255"/>
      <c r="E572" s="255"/>
      <c r="F572" s="255"/>
      <c r="G572" s="14" t="s">
        <v>5674</v>
      </c>
    </row>
    <row r="573" spans="2:9" x14ac:dyDescent="0.25">
      <c r="B573" s="31"/>
      <c r="C573" s="191"/>
      <c r="D573" s="191"/>
      <c r="E573" s="191"/>
      <c r="F573" s="191"/>
      <c r="G573" s="14" t="s">
        <v>5675</v>
      </c>
    </row>
    <row r="574" spans="2:9" x14ac:dyDescent="0.25">
      <c r="B574" s="31"/>
      <c r="C574" s="191"/>
      <c r="D574" s="191"/>
      <c r="E574" s="191"/>
      <c r="F574" s="191"/>
      <c r="G574" s="14" t="s">
        <v>5676</v>
      </c>
    </row>
    <row r="575" spans="2:9" x14ac:dyDescent="0.25">
      <c r="B575" s="31"/>
      <c r="C575" s="191"/>
      <c r="D575" s="191"/>
      <c r="E575" s="191"/>
      <c r="F575" s="191"/>
      <c r="G575" s="14" t="s">
        <v>5677</v>
      </c>
    </row>
    <row r="576" spans="2:9" x14ac:dyDescent="0.25">
      <c r="B576" s="31"/>
      <c r="C576" s="191"/>
      <c r="D576" s="191"/>
      <c r="E576" s="191"/>
      <c r="F576" s="191"/>
      <c r="G576" s="14" t="s">
        <v>5678</v>
      </c>
    </row>
    <row r="577" spans="2:13" x14ac:dyDescent="0.25">
      <c r="B577" s="31"/>
      <c r="C577" s="191"/>
      <c r="D577" s="191"/>
      <c r="E577" s="191"/>
      <c r="F577" s="191"/>
      <c r="G577" s="14" t="s">
        <v>5679</v>
      </c>
    </row>
    <row r="578" spans="2:13" x14ac:dyDescent="0.25">
      <c r="B578" s="31"/>
      <c r="C578" s="191"/>
      <c r="D578" s="191"/>
      <c r="E578" s="191"/>
      <c r="F578" s="191"/>
      <c r="G578" s="14" t="s">
        <v>5680</v>
      </c>
    </row>
    <row r="579" spans="2:13" x14ac:dyDescent="0.25">
      <c r="B579" s="31"/>
      <c r="C579" s="191"/>
      <c r="D579" s="191"/>
      <c r="E579" s="191"/>
      <c r="F579" s="191"/>
      <c r="G579" s="14" t="s">
        <v>5681</v>
      </c>
    </row>
    <row r="580" spans="2:13" x14ac:dyDescent="0.25">
      <c r="B580" s="31"/>
      <c r="C580" s="191"/>
      <c r="D580" s="191"/>
      <c r="E580" s="191"/>
      <c r="F580" s="191"/>
      <c r="G580" s="14" t="s">
        <v>5682</v>
      </c>
      <c r="J580" s="14" t="s">
        <v>5683</v>
      </c>
    </row>
    <row r="581" spans="2:13" ht="15.75" thickBot="1" x14ac:dyDescent="0.3">
      <c r="B581" s="31"/>
      <c r="C581" s="31"/>
      <c r="D581" s="31"/>
      <c r="E581" s="31"/>
      <c r="F581" s="31"/>
      <c r="G581" s="14"/>
      <c r="H581" s="14"/>
      <c r="J581" s="14" t="s">
        <v>5684</v>
      </c>
    </row>
    <row r="582" spans="2:13" x14ac:dyDescent="0.25">
      <c r="B582" s="217" t="s">
        <v>401</v>
      </c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9"/>
    </row>
    <row r="583" spans="2:13" x14ac:dyDescent="0.25">
      <c r="B583" s="3" t="s">
        <v>402</v>
      </c>
      <c r="C583" s="232" t="s">
        <v>403</v>
      </c>
      <c r="D583" s="232"/>
      <c r="E583" s="232" t="s">
        <v>467</v>
      </c>
      <c r="F583" s="232"/>
      <c r="G583" s="232" t="s">
        <v>405</v>
      </c>
      <c r="H583" s="232"/>
      <c r="I583" s="232" t="s">
        <v>406</v>
      </c>
      <c r="J583" s="232"/>
      <c r="K583" s="234" t="s">
        <v>468</v>
      </c>
      <c r="L583" s="235"/>
      <c r="M583" s="236"/>
    </row>
    <row r="584" spans="2:13" ht="15.75" thickBot="1" x14ac:dyDescent="0.3">
      <c r="B584" s="4"/>
      <c r="C584" s="237">
        <v>2</v>
      </c>
      <c r="D584" s="238"/>
      <c r="E584" s="239"/>
      <c r="F584" s="238"/>
      <c r="G584" s="240"/>
      <c r="H584" s="240"/>
      <c r="I584" s="241"/>
      <c r="J584" s="241"/>
      <c r="K584" s="242"/>
      <c r="L584" s="243"/>
      <c r="M584" s="244"/>
    </row>
    <row r="585" spans="2:13" ht="15.75" thickBot="1" x14ac:dyDescent="0.3">
      <c r="B585" s="1"/>
      <c r="C585" s="1"/>
      <c r="D585" s="1"/>
      <c r="E585" s="1"/>
      <c r="F585" s="1"/>
      <c r="G585" s="1"/>
      <c r="H585" s="1"/>
    </row>
    <row r="586" spans="2:13" x14ac:dyDescent="0.25">
      <c r="B586" s="217" t="s">
        <v>408</v>
      </c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9"/>
    </row>
    <row r="587" spans="2:13" x14ac:dyDescent="0.25">
      <c r="B587" s="3" t="s">
        <v>5685</v>
      </c>
      <c r="C587" s="232" t="s">
        <v>3889</v>
      </c>
      <c r="D587" s="232"/>
      <c r="E587" s="268" t="s">
        <v>4306</v>
      </c>
      <c r="F587" s="268"/>
      <c r="G587" s="232" t="s">
        <v>5613</v>
      </c>
      <c r="H587" s="232"/>
      <c r="I587" s="232" t="s">
        <v>5686</v>
      </c>
      <c r="J587" s="232"/>
      <c r="K587" s="232" t="s">
        <v>5687</v>
      </c>
      <c r="L587" s="232"/>
      <c r="M587" s="269"/>
    </row>
    <row r="588" spans="2:13" ht="15.75" thickBot="1" x14ac:dyDescent="0.3">
      <c r="B588" s="5" t="s">
        <v>3866</v>
      </c>
      <c r="C588" s="237" t="s">
        <v>916</v>
      </c>
      <c r="D588" s="238"/>
      <c r="E588" s="240" t="s">
        <v>5688</v>
      </c>
      <c r="F588" s="240"/>
      <c r="G588" s="240" t="s">
        <v>5689</v>
      </c>
      <c r="H588" s="240"/>
      <c r="I588" s="240" t="s">
        <v>5690</v>
      </c>
      <c r="J588" s="240"/>
      <c r="K588" s="240" t="s">
        <v>5691</v>
      </c>
      <c r="L588" s="240"/>
      <c r="M588" s="267"/>
    </row>
    <row r="590" spans="2:13" ht="23.25" x14ac:dyDescent="0.35">
      <c r="B590" s="29" t="s">
        <v>334</v>
      </c>
      <c r="C590" s="295" t="s">
        <v>266</v>
      </c>
      <c r="D590" s="295"/>
      <c r="E590" s="295"/>
      <c r="F590" s="295"/>
      <c r="G590" s="295"/>
      <c r="H590" s="295"/>
    </row>
    <row r="591" spans="2:13" ht="18.75" x14ac:dyDescent="0.3">
      <c r="B591" s="12" t="s">
        <v>335</v>
      </c>
      <c r="C591" s="1" t="s">
        <v>3949</v>
      </c>
      <c r="F591" s="228" t="s">
        <v>427</v>
      </c>
      <c r="G591" s="228"/>
      <c r="H591" s="1" t="s">
        <v>5692</v>
      </c>
      <c r="L591" s="12" t="s">
        <v>339</v>
      </c>
      <c r="M591" s="6" t="s">
        <v>5693</v>
      </c>
    </row>
    <row r="593" spans="2:13" x14ac:dyDescent="0.25">
      <c r="B593" s="2" t="s">
        <v>341</v>
      </c>
      <c r="C593" s="250" t="s">
        <v>3774</v>
      </c>
      <c r="D593" s="250"/>
      <c r="E593" s="250" t="s">
        <v>3174</v>
      </c>
      <c r="F593" s="250"/>
      <c r="G593" s="228" t="s">
        <v>345</v>
      </c>
      <c r="H593" s="228"/>
      <c r="I593" s="228"/>
      <c r="J593" s="228"/>
      <c r="K593" s="228"/>
      <c r="L593" s="228"/>
      <c r="M593" s="228"/>
    </row>
    <row r="595" spans="2:13" x14ac:dyDescent="0.25">
      <c r="B595" s="13" t="s">
        <v>652</v>
      </c>
      <c r="C595" s="252" t="s">
        <v>1711</v>
      </c>
      <c r="D595" s="252"/>
      <c r="E595" s="252" t="s">
        <v>2320</v>
      </c>
      <c r="F595" s="252"/>
      <c r="G595" s="14" t="s">
        <v>5694</v>
      </c>
      <c r="H595" s="14"/>
    </row>
    <row r="596" spans="2:13" x14ac:dyDescent="0.25">
      <c r="B596" s="13"/>
      <c r="C596" s="188"/>
      <c r="D596" s="188"/>
      <c r="E596" s="188"/>
      <c r="F596" s="188"/>
      <c r="G596" s="14" t="s">
        <v>5695</v>
      </c>
      <c r="H596" s="14"/>
    </row>
    <row r="597" spans="2:13" x14ac:dyDescent="0.25">
      <c r="B597" s="14" t="s">
        <v>518</v>
      </c>
      <c r="C597" s="290" t="s">
        <v>744</v>
      </c>
      <c r="D597" s="290"/>
      <c r="E597" s="290" t="s">
        <v>487</v>
      </c>
      <c r="F597" s="290"/>
      <c r="G597" s="14" t="s">
        <v>5696</v>
      </c>
      <c r="H597" s="14"/>
    </row>
    <row r="598" spans="2:13" x14ac:dyDescent="0.25">
      <c r="B598" s="14"/>
      <c r="C598" s="189"/>
      <c r="D598" s="189"/>
      <c r="E598" s="189"/>
      <c r="F598" s="189"/>
      <c r="G598" s="14" t="s">
        <v>5697</v>
      </c>
      <c r="H598" s="14"/>
    </row>
    <row r="599" spans="2:13" x14ac:dyDescent="0.25">
      <c r="B599" s="13" t="s">
        <v>5698</v>
      </c>
      <c r="C599" s="252" t="s">
        <v>2103</v>
      </c>
      <c r="D599" s="252"/>
      <c r="E599" s="323" t="s">
        <v>1915</v>
      </c>
      <c r="F599" s="323"/>
      <c r="G599" s="14" t="s">
        <v>5699</v>
      </c>
      <c r="H599" s="14"/>
    </row>
    <row r="600" spans="2:13" x14ac:dyDescent="0.25">
      <c r="B600" s="13" t="s">
        <v>5700</v>
      </c>
      <c r="C600" s="188"/>
      <c r="D600" s="188"/>
      <c r="E600" s="188"/>
      <c r="F600" s="188"/>
      <c r="G600" s="14" t="s">
        <v>5701</v>
      </c>
      <c r="H600" s="14"/>
    </row>
    <row r="601" spans="2:13" x14ac:dyDescent="0.25">
      <c r="B601" s="14" t="s">
        <v>5702</v>
      </c>
      <c r="C601" s="290" t="s">
        <v>757</v>
      </c>
      <c r="D601" s="290"/>
      <c r="E601" s="290" t="s">
        <v>504</v>
      </c>
      <c r="F601" s="290"/>
      <c r="G601" s="14" t="s">
        <v>5703</v>
      </c>
      <c r="H601" s="14"/>
    </row>
    <row r="602" spans="2:13" x14ac:dyDescent="0.25">
      <c r="B602" s="14"/>
      <c r="C602" s="189"/>
      <c r="D602" s="189"/>
      <c r="E602" s="189"/>
      <c r="F602" s="189"/>
      <c r="G602" s="14" t="s">
        <v>5704</v>
      </c>
      <c r="H602" s="14"/>
    </row>
    <row r="603" spans="2:13" x14ac:dyDescent="0.25">
      <c r="B603" s="13" t="s">
        <v>5705</v>
      </c>
      <c r="C603" s="252" t="s">
        <v>373</v>
      </c>
      <c r="D603" s="252"/>
      <c r="E603" s="252" t="s">
        <v>525</v>
      </c>
      <c r="F603" s="252"/>
      <c r="G603" s="14" t="s">
        <v>5706</v>
      </c>
    </row>
    <row r="604" spans="2:13" x14ac:dyDescent="0.25">
      <c r="B604" s="13"/>
      <c r="C604" s="188"/>
      <c r="D604" s="188"/>
      <c r="E604" s="188"/>
      <c r="F604" s="188"/>
      <c r="G604" s="14" t="s">
        <v>5707</v>
      </c>
    </row>
    <row r="605" spans="2:13" x14ac:dyDescent="0.25">
      <c r="B605" s="14" t="s">
        <v>5708</v>
      </c>
      <c r="C605" s="290" t="s">
        <v>508</v>
      </c>
      <c r="D605" s="290"/>
      <c r="E605" s="290" t="s">
        <v>390</v>
      </c>
      <c r="F605" s="290"/>
      <c r="G605" s="14" t="s">
        <v>5709</v>
      </c>
    </row>
    <row r="606" spans="2:13" x14ac:dyDescent="0.25">
      <c r="B606" s="14"/>
      <c r="C606" s="189"/>
      <c r="D606" s="189"/>
      <c r="E606" s="189"/>
      <c r="F606" s="189"/>
      <c r="G606" s="14" t="s">
        <v>5710</v>
      </c>
    </row>
    <row r="607" spans="2:13" x14ac:dyDescent="0.25">
      <c r="B607" s="31"/>
      <c r="C607" s="255"/>
      <c r="D607" s="255"/>
      <c r="E607" s="255"/>
      <c r="F607" s="255"/>
      <c r="G607" s="14" t="s">
        <v>5711</v>
      </c>
    </row>
    <row r="608" spans="2:13" ht="15.75" thickBot="1" x14ac:dyDescent="0.3">
      <c r="B608" s="31"/>
      <c r="C608" s="191"/>
      <c r="D608" s="191"/>
      <c r="E608" s="191"/>
      <c r="F608" s="191"/>
      <c r="G608" s="14" t="s">
        <v>5712</v>
      </c>
    </row>
    <row r="609" spans="2:13" x14ac:dyDescent="0.25">
      <c r="B609" s="217" t="s">
        <v>401</v>
      </c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9"/>
    </row>
    <row r="610" spans="2:13" x14ac:dyDescent="0.25">
      <c r="B610" s="3" t="s">
        <v>402</v>
      </c>
      <c r="C610" s="232" t="s">
        <v>403</v>
      </c>
      <c r="D610" s="232"/>
      <c r="E610" s="232" t="s">
        <v>467</v>
      </c>
      <c r="F610" s="232"/>
      <c r="G610" s="232" t="s">
        <v>405</v>
      </c>
      <c r="H610" s="232"/>
      <c r="I610" s="232" t="s">
        <v>406</v>
      </c>
      <c r="J610" s="232"/>
      <c r="K610" s="234" t="s">
        <v>468</v>
      </c>
      <c r="L610" s="235"/>
      <c r="M610" s="236"/>
    </row>
    <row r="611" spans="2:13" ht="15.75" thickBot="1" x14ac:dyDescent="0.3">
      <c r="B611" s="5">
        <v>0.16700000000000001</v>
      </c>
      <c r="C611" s="237">
        <v>1.5</v>
      </c>
      <c r="D611" s="238"/>
      <c r="E611" s="239"/>
      <c r="F611" s="238"/>
      <c r="G611" s="240"/>
      <c r="H611" s="240"/>
      <c r="I611" s="241"/>
      <c r="J611" s="241"/>
      <c r="K611" s="242"/>
      <c r="L611" s="243"/>
      <c r="M611" s="244"/>
    </row>
    <row r="612" spans="2:13" ht="15.75" thickBot="1" x14ac:dyDescent="0.3">
      <c r="B612" s="1"/>
      <c r="C612" s="1"/>
      <c r="D612" s="1"/>
      <c r="E612" s="1"/>
      <c r="F612" s="1"/>
      <c r="G612" s="1"/>
      <c r="H612" s="1"/>
    </row>
    <row r="613" spans="2:13" x14ac:dyDescent="0.25">
      <c r="B613" s="217" t="s">
        <v>408</v>
      </c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9"/>
    </row>
    <row r="614" spans="2:13" x14ac:dyDescent="0.25">
      <c r="B614" s="3" t="s">
        <v>1992</v>
      </c>
      <c r="C614" s="232" t="s">
        <v>5713</v>
      </c>
      <c r="D614" s="232"/>
      <c r="E614" s="268" t="s">
        <v>5714</v>
      </c>
      <c r="F614" s="268"/>
      <c r="G614" s="232" t="s">
        <v>5715</v>
      </c>
      <c r="H614" s="232"/>
      <c r="I614" s="232" t="s">
        <v>5254</v>
      </c>
      <c r="J614" s="232"/>
      <c r="K614" s="232" t="s">
        <v>2660</v>
      </c>
      <c r="L614" s="232"/>
      <c r="M614" s="269"/>
    </row>
    <row r="615" spans="2:13" ht="15.75" thickBot="1" x14ac:dyDescent="0.3">
      <c r="B615" s="5" t="s">
        <v>4338</v>
      </c>
      <c r="C615" s="237" t="s">
        <v>1561</v>
      </c>
      <c r="D615" s="238"/>
      <c r="E615" s="240" t="s">
        <v>5716</v>
      </c>
      <c r="F615" s="240"/>
      <c r="G615" s="240" t="s">
        <v>4309</v>
      </c>
      <c r="H615" s="240"/>
      <c r="I615" s="240" t="s">
        <v>5717</v>
      </c>
      <c r="J615" s="240"/>
      <c r="K615" s="240" t="s">
        <v>4937</v>
      </c>
      <c r="L615" s="240"/>
      <c r="M615" s="267"/>
    </row>
    <row r="617" spans="2:13" ht="23.25" x14ac:dyDescent="0.35">
      <c r="B617" s="29" t="s">
        <v>334</v>
      </c>
      <c r="C617" s="295" t="s">
        <v>296</v>
      </c>
      <c r="D617" s="295"/>
      <c r="E617" s="295"/>
      <c r="F617" s="295"/>
      <c r="G617" s="295"/>
      <c r="H617" s="295"/>
    </row>
    <row r="618" spans="2:13" ht="18.75" x14ac:dyDescent="0.3">
      <c r="B618" s="12" t="s">
        <v>335</v>
      </c>
      <c r="C618" s="1" t="s">
        <v>3949</v>
      </c>
      <c r="F618" s="228" t="s">
        <v>427</v>
      </c>
      <c r="G618" s="228"/>
      <c r="H618" s="1" t="s">
        <v>5718</v>
      </c>
      <c r="L618" s="12" t="s">
        <v>339</v>
      </c>
      <c r="M618" s="6" t="s">
        <v>5719</v>
      </c>
    </row>
    <row r="620" spans="2:13" x14ac:dyDescent="0.25">
      <c r="B620" s="2" t="s">
        <v>341</v>
      </c>
      <c r="C620" s="250" t="s">
        <v>5720</v>
      </c>
      <c r="D620" s="250"/>
      <c r="E620" s="250" t="s">
        <v>5721</v>
      </c>
      <c r="F620" s="250"/>
      <c r="G620" s="228" t="s">
        <v>345</v>
      </c>
      <c r="H620" s="228"/>
      <c r="I620" s="228"/>
      <c r="J620" s="228"/>
      <c r="K620" s="228"/>
      <c r="L620" s="228"/>
      <c r="M620" s="228"/>
    </row>
    <row r="622" spans="2:13" x14ac:dyDescent="0.25">
      <c r="B622" s="13" t="s">
        <v>5722</v>
      </c>
      <c r="C622" s="252" t="s">
        <v>5723</v>
      </c>
      <c r="D622" s="252"/>
      <c r="E622" s="252" t="s">
        <v>1850</v>
      </c>
      <c r="F622" s="252"/>
      <c r="G622" s="14" t="s">
        <v>5724</v>
      </c>
      <c r="H622" s="14"/>
    </row>
    <row r="623" spans="2:13" x14ac:dyDescent="0.25">
      <c r="B623" s="13"/>
      <c r="C623" s="188"/>
      <c r="D623" s="188"/>
      <c r="E623" s="188"/>
      <c r="F623" s="188"/>
      <c r="G623" s="14" t="s">
        <v>5725</v>
      </c>
      <c r="H623" s="14"/>
    </row>
    <row r="624" spans="2:13" x14ac:dyDescent="0.25">
      <c r="B624" s="14" t="s">
        <v>652</v>
      </c>
      <c r="C624" s="290" t="s">
        <v>1019</v>
      </c>
      <c r="D624" s="290"/>
      <c r="E624" s="290" t="s">
        <v>2036</v>
      </c>
      <c r="F624" s="290"/>
      <c r="G624" s="14" t="s">
        <v>5726</v>
      </c>
      <c r="H624" s="14"/>
    </row>
    <row r="625" spans="2:13" x14ac:dyDescent="0.25">
      <c r="B625" s="14"/>
      <c r="C625" s="189"/>
      <c r="D625" s="189"/>
      <c r="E625" s="189"/>
      <c r="F625" s="189"/>
      <c r="G625" s="14" t="s">
        <v>5727</v>
      </c>
      <c r="H625" s="14"/>
    </row>
    <row r="626" spans="2:13" x14ac:dyDescent="0.25">
      <c r="B626" s="13" t="s">
        <v>1946</v>
      </c>
      <c r="C626" s="252" t="s">
        <v>1019</v>
      </c>
      <c r="D626" s="252"/>
      <c r="E626" s="323" t="s">
        <v>2036</v>
      </c>
      <c r="F626" s="323"/>
      <c r="G626" s="14"/>
      <c r="H626" s="14"/>
    </row>
    <row r="627" spans="2:13" x14ac:dyDescent="0.25">
      <c r="B627" s="13"/>
      <c r="C627" s="188"/>
      <c r="D627" s="188"/>
      <c r="E627" s="188"/>
      <c r="F627" s="188"/>
      <c r="G627" s="14"/>
      <c r="H627" s="14"/>
    </row>
    <row r="628" spans="2:13" x14ac:dyDescent="0.25">
      <c r="B628" s="14" t="s">
        <v>1840</v>
      </c>
      <c r="C628" s="290" t="s">
        <v>4522</v>
      </c>
      <c r="D628" s="290"/>
      <c r="E628" s="290" t="s">
        <v>5728</v>
      </c>
      <c r="F628" s="290"/>
      <c r="G628" s="14"/>
      <c r="H628" s="14"/>
    </row>
    <row r="629" spans="2:13" x14ac:dyDescent="0.25">
      <c r="B629" s="14"/>
      <c r="C629" s="189"/>
      <c r="D629" s="189"/>
      <c r="E629" s="189"/>
      <c r="F629" s="189"/>
      <c r="G629" s="14"/>
      <c r="H629" s="14"/>
    </row>
    <row r="630" spans="2:13" x14ac:dyDescent="0.25">
      <c r="B630" s="13" t="s">
        <v>518</v>
      </c>
      <c r="C630" s="252" t="s">
        <v>486</v>
      </c>
      <c r="D630" s="252"/>
      <c r="E630" s="252" t="s">
        <v>744</v>
      </c>
      <c r="F630" s="252"/>
      <c r="G630" s="14"/>
    </row>
    <row r="631" spans="2:13" ht="15.75" thickBot="1" x14ac:dyDescent="0.3">
      <c r="B631" s="13"/>
      <c r="C631" s="188"/>
      <c r="D631" s="188"/>
      <c r="E631" s="188"/>
      <c r="F631" s="188"/>
      <c r="G631" s="14"/>
    </row>
    <row r="632" spans="2:13" x14ac:dyDescent="0.25">
      <c r="B632" s="217" t="s">
        <v>401</v>
      </c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9"/>
    </row>
    <row r="633" spans="2:13" x14ac:dyDescent="0.25">
      <c r="B633" s="3" t="s">
        <v>402</v>
      </c>
      <c r="C633" s="232" t="s">
        <v>403</v>
      </c>
      <c r="D633" s="232"/>
      <c r="E633" s="232" t="s">
        <v>467</v>
      </c>
      <c r="F633" s="232"/>
      <c r="G633" s="232" t="s">
        <v>405</v>
      </c>
      <c r="H633" s="232"/>
      <c r="I633" s="232" t="s">
        <v>406</v>
      </c>
      <c r="J633" s="232"/>
      <c r="K633" s="234" t="s">
        <v>468</v>
      </c>
      <c r="L633" s="235"/>
      <c r="M633" s="236"/>
    </row>
    <row r="634" spans="2:13" ht="15.75" thickBot="1" x14ac:dyDescent="0.3">
      <c r="B634" s="5">
        <v>0.36</v>
      </c>
      <c r="C634" s="237">
        <v>1.79</v>
      </c>
      <c r="D634" s="238"/>
      <c r="E634" s="239"/>
      <c r="F634" s="238"/>
      <c r="G634" s="240"/>
      <c r="H634" s="240"/>
      <c r="I634" s="241"/>
      <c r="J634" s="241"/>
      <c r="K634" s="242"/>
      <c r="L634" s="243"/>
      <c r="M634" s="244"/>
    </row>
    <row r="635" spans="2:13" ht="15.75" thickBot="1" x14ac:dyDescent="0.3">
      <c r="B635" s="1"/>
      <c r="C635" s="1"/>
      <c r="D635" s="1"/>
      <c r="E635" s="1"/>
      <c r="F635" s="1"/>
      <c r="G635" s="1"/>
      <c r="H635" s="1"/>
    </row>
    <row r="636" spans="2:13" x14ac:dyDescent="0.25">
      <c r="B636" s="217" t="s">
        <v>408</v>
      </c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9"/>
    </row>
    <row r="637" spans="2:13" x14ac:dyDescent="0.25">
      <c r="B637" s="3" t="s">
        <v>5729</v>
      </c>
      <c r="C637" s="232" t="s">
        <v>690</v>
      </c>
      <c r="D637" s="232"/>
      <c r="E637" s="268" t="s">
        <v>4642</v>
      </c>
      <c r="F637" s="268"/>
      <c r="G637" s="232" t="s">
        <v>4935</v>
      </c>
      <c r="H637" s="232"/>
      <c r="I637" s="232" t="s">
        <v>5730</v>
      </c>
      <c r="J637" s="232"/>
      <c r="K637" s="232" t="s">
        <v>4526</v>
      </c>
      <c r="L637" s="232"/>
      <c r="M637" s="269"/>
    </row>
    <row r="638" spans="2:13" ht="15.75" thickBot="1" x14ac:dyDescent="0.3">
      <c r="B638" s="5" t="s">
        <v>915</v>
      </c>
      <c r="C638" s="237" t="s">
        <v>714</v>
      </c>
      <c r="D638" s="238"/>
      <c r="E638" s="240" t="s">
        <v>5716</v>
      </c>
      <c r="F638" s="240"/>
      <c r="G638" s="240" t="s">
        <v>3974</v>
      </c>
      <c r="H638" s="240"/>
      <c r="I638" s="240" t="s">
        <v>1560</v>
      </c>
      <c r="J638" s="240"/>
      <c r="K638" s="240" t="s">
        <v>5731</v>
      </c>
      <c r="L638" s="240"/>
      <c r="M638" s="267"/>
    </row>
    <row r="640" spans="2:13" ht="23.25" x14ac:dyDescent="0.35">
      <c r="B640" s="29" t="s">
        <v>334</v>
      </c>
      <c r="C640" s="295" t="s">
        <v>5732</v>
      </c>
      <c r="D640" s="295"/>
      <c r="E640" s="295"/>
      <c r="F640" s="295"/>
      <c r="G640" s="295"/>
      <c r="H640" s="295"/>
    </row>
    <row r="641" spans="2:13" ht="18.75" x14ac:dyDescent="0.3">
      <c r="B641" s="12" t="s">
        <v>335</v>
      </c>
      <c r="C641" s="1" t="s">
        <v>3949</v>
      </c>
      <c r="F641" s="228" t="s">
        <v>427</v>
      </c>
      <c r="G641" s="228"/>
      <c r="H641" s="1" t="s">
        <v>5733</v>
      </c>
      <c r="L641" s="12" t="s">
        <v>339</v>
      </c>
      <c r="M641" s="6" t="s">
        <v>299</v>
      </c>
    </row>
    <row r="643" spans="2:13" x14ac:dyDescent="0.25">
      <c r="B643" s="2" t="s">
        <v>341</v>
      </c>
      <c r="C643" s="298" t="s">
        <v>5734</v>
      </c>
      <c r="D643" s="298"/>
      <c r="E643" s="228" t="s">
        <v>345</v>
      </c>
      <c r="F643" s="228"/>
      <c r="G643" s="228"/>
      <c r="H643" s="228"/>
      <c r="I643" s="228"/>
      <c r="J643" s="228"/>
      <c r="K643" s="228"/>
    </row>
    <row r="645" spans="2:13" x14ac:dyDescent="0.25">
      <c r="B645" s="13" t="s">
        <v>848</v>
      </c>
      <c r="C645" s="252" t="s">
        <v>5735</v>
      </c>
      <c r="D645" s="252"/>
      <c r="E645" s="14" t="s">
        <v>5736</v>
      </c>
      <c r="F645" s="14"/>
    </row>
    <row r="646" spans="2:13" x14ac:dyDescent="0.25">
      <c r="B646" s="13"/>
      <c r="C646" s="188"/>
      <c r="D646" s="188"/>
      <c r="E646" s="14" t="s">
        <v>5737</v>
      </c>
      <c r="F646" s="14"/>
    </row>
    <row r="647" spans="2:13" x14ac:dyDescent="0.25">
      <c r="B647" s="14" t="s">
        <v>5738</v>
      </c>
      <c r="C647" s="290" t="s">
        <v>2921</v>
      </c>
      <c r="D647" s="290"/>
      <c r="E647" s="14" t="s">
        <v>5739</v>
      </c>
      <c r="F647" s="14"/>
    </row>
    <row r="648" spans="2:13" x14ac:dyDescent="0.25">
      <c r="B648" s="14"/>
      <c r="C648" s="189"/>
      <c r="D648" s="189"/>
      <c r="E648" s="14" t="s">
        <v>5740</v>
      </c>
      <c r="F648" s="14"/>
    </row>
    <row r="649" spans="2:13" x14ac:dyDescent="0.25">
      <c r="B649" s="13" t="s">
        <v>5741</v>
      </c>
      <c r="C649" s="252" t="s">
        <v>603</v>
      </c>
      <c r="D649" s="252"/>
      <c r="E649" s="14" t="s">
        <v>5742</v>
      </c>
      <c r="F649" s="14"/>
    </row>
    <row r="650" spans="2:13" x14ac:dyDescent="0.25">
      <c r="B650" s="13"/>
      <c r="C650" s="188"/>
      <c r="D650" s="188"/>
      <c r="E650" s="14" t="s">
        <v>5743</v>
      </c>
      <c r="F650" s="14"/>
    </row>
    <row r="651" spans="2:13" x14ac:dyDescent="0.25">
      <c r="B651" s="217" t="s">
        <v>401</v>
      </c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9"/>
    </row>
    <row r="652" spans="2:13" x14ac:dyDescent="0.25">
      <c r="B652" s="3" t="s">
        <v>402</v>
      </c>
      <c r="C652" s="232" t="s">
        <v>403</v>
      </c>
      <c r="D652" s="232"/>
      <c r="E652" s="232" t="s">
        <v>467</v>
      </c>
      <c r="F652" s="232"/>
      <c r="G652" s="232" t="s">
        <v>405</v>
      </c>
      <c r="H652" s="232"/>
      <c r="I652" s="232" t="s">
        <v>406</v>
      </c>
      <c r="J652" s="232"/>
      <c r="K652" s="234" t="s">
        <v>468</v>
      </c>
      <c r="L652" s="235"/>
      <c r="M652" s="236"/>
    </row>
    <row r="653" spans="2:13" x14ac:dyDescent="0.25">
      <c r="B653" s="5"/>
      <c r="C653" s="237">
        <v>0.42857000000000001</v>
      </c>
      <c r="D653" s="238"/>
      <c r="E653" s="239"/>
      <c r="F653" s="238"/>
      <c r="G653" s="240"/>
      <c r="H653" s="240"/>
      <c r="I653" s="241"/>
      <c r="J653" s="241"/>
      <c r="K653" s="242"/>
      <c r="L653" s="243"/>
      <c r="M653" s="244"/>
    </row>
    <row r="654" spans="2:13" x14ac:dyDescent="0.25">
      <c r="B654" s="1"/>
      <c r="C654" s="1"/>
      <c r="D654" s="1"/>
      <c r="E654" s="1"/>
      <c r="F654" s="1"/>
      <c r="G654" s="1"/>
      <c r="H654" s="1"/>
    </row>
    <row r="655" spans="2:13" x14ac:dyDescent="0.25">
      <c r="B655" s="217" t="s">
        <v>408</v>
      </c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9"/>
    </row>
    <row r="656" spans="2:13" x14ac:dyDescent="0.25">
      <c r="B656" s="122" t="s">
        <v>4616</v>
      </c>
      <c r="C656" s="220" t="s">
        <v>5744</v>
      </c>
      <c r="D656" s="220"/>
      <c r="E656" s="221" t="s">
        <v>5397</v>
      </c>
      <c r="F656" s="221"/>
      <c r="G656" s="221" t="s">
        <v>5745</v>
      </c>
      <c r="H656" s="221"/>
      <c r="I656" s="220" t="s">
        <v>5746</v>
      </c>
      <c r="J656" s="220"/>
      <c r="K656" s="220" t="s">
        <v>5747</v>
      </c>
      <c r="L656" s="220"/>
      <c r="M656" s="222"/>
    </row>
    <row r="657" spans="2:15" x14ac:dyDescent="0.25">
      <c r="B657" s="123" t="s">
        <v>3866</v>
      </c>
      <c r="C657" s="225" t="s">
        <v>5748</v>
      </c>
      <c r="D657" s="226"/>
      <c r="E657" s="223" t="s">
        <v>5749</v>
      </c>
      <c r="F657" s="223"/>
      <c r="G657" s="223" t="s">
        <v>3739</v>
      </c>
      <c r="H657" s="223"/>
      <c r="I657" s="227" t="s">
        <v>5750</v>
      </c>
      <c r="J657" s="227"/>
      <c r="K657" s="223" t="s">
        <v>697</v>
      </c>
      <c r="L657" s="223"/>
      <c r="M657" s="224"/>
    </row>
    <row r="658" spans="2:15" x14ac:dyDescent="0.25">
      <c r="B658" s="123" t="s">
        <v>5463</v>
      </c>
      <c r="C658" s="225" t="s">
        <v>906</v>
      </c>
      <c r="D658" s="226"/>
      <c r="E658" s="227" t="s">
        <v>5751</v>
      </c>
      <c r="F658" s="227"/>
      <c r="G658" s="223" t="s">
        <v>802</v>
      </c>
      <c r="H658" s="223"/>
      <c r="I658" s="223" t="s">
        <v>5752</v>
      </c>
      <c r="J658" s="223"/>
      <c r="K658" s="223" t="s">
        <v>575</v>
      </c>
      <c r="L658" s="223"/>
      <c r="M658" s="224"/>
    </row>
    <row r="660" spans="2:15" ht="20.25" x14ac:dyDescent="0.3">
      <c r="B660" s="29" t="s">
        <v>334</v>
      </c>
      <c r="C660" s="369" t="s">
        <v>302</v>
      </c>
      <c r="D660" s="369"/>
      <c r="E660" s="369"/>
      <c r="F660" s="369"/>
      <c r="G660" s="369"/>
      <c r="H660" s="369"/>
      <c r="O660" s="101" t="s">
        <v>481</v>
      </c>
    </row>
    <row r="661" spans="2:15" ht="18.75" x14ac:dyDescent="0.3">
      <c r="B661" s="12" t="s">
        <v>335</v>
      </c>
      <c r="C661" s="1" t="s">
        <v>3949</v>
      </c>
      <c r="F661" s="228" t="s">
        <v>427</v>
      </c>
      <c r="G661" s="228"/>
      <c r="H661" s="1" t="s">
        <v>5753</v>
      </c>
      <c r="L661" s="12" t="s">
        <v>339</v>
      </c>
      <c r="M661" s="6" t="s">
        <v>301</v>
      </c>
    </row>
    <row r="663" spans="2:15" x14ac:dyDescent="0.25">
      <c r="B663" s="2" t="s">
        <v>341</v>
      </c>
      <c r="C663" s="298" t="s">
        <v>5754</v>
      </c>
      <c r="D663" s="298"/>
      <c r="E663" s="228" t="s">
        <v>345</v>
      </c>
      <c r="F663" s="228"/>
      <c r="G663" s="228"/>
      <c r="H663" s="228"/>
      <c r="I663" s="228"/>
      <c r="J663" s="228"/>
      <c r="K663" s="228"/>
      <c r="O663" s="101" t="s">
        <v>732</v>
      </c>
    </row>
    <row r="665" spans="2:15" x14ac:dyDescent="0.25">
      <c r="B665" s="13" t="s">
        <v>5755</v>
      </c>
      <c r="C665" s="252" t="s">
        <v>2641</v>
      </c>
      <c r="D665" s="252"/>
      <c r="E665" s="14" t="s">
        <v>5756</v>
      </c>
      <c r="F665" s="14"/>
      <c r="O665" s="102" t="e">
        <f>SUM(2.25*#REF!)/40</f>
        <v>#REF!</v>
      </c>
    </row>
    <row r="666" spans="2:15" x14ac:dyDescent="0.25">
      <c r="B666" s="13"/>
      <c r="C666" s="188"/>
      <c r="D666" s="188"/>
      <c r="E666" s="14" t="s">
        <v>5757</v>
      </c>
      <c r="F666" s="14"/>
      <c r="O666" s="98"/>
    </row>
    <row r="667" spans="2:15" x14ac:dyDescent="0.25">
      <c r="B667" s="14" t="s">
        <v>3511</v>
      </c>
      <c r="C667" s="290" t="s">
        <v>5473</v>
      </c>
      <c r="D667" s="290"/>
      <c r="E667" s="14" t="s">
        <v>5758</v>
      </c>
      <c r="F667" s="14"/>
      <c r="O667" s="98" t="e">
        <f>SUM(1.125*#REF!)/40</f>
        <v>#REF!</v>
      </c>
    </row>
    <row r="668" spans="2:15" x14ac:dyDescent="0.25">
      <c r="B668" s="14"/>
      <c r="C668" s="189"/>
      <c r="D668" s="189"/>
      <c r="E668" s="14" t="s">
        <v>5759</v>
      </c>
      <c r="F668" s="14"/>
      <c r="O668" s="98"/>
    </row>
    <row r="669" spans="2:15" x14ac:dyDescent="0.25">
      <c r="B669" s="13" t="s">
        <v>3912</v>
      </c>
      <c r="C669" s="252" t="s">
        <v>373</v>
      </c>
      <c r="D669" s="252"/>
      <c r="E669" s="14" t="s">
        <v>5760</v>
      </c>
      <c r="F669" s="14"/>
      <c r="O669" s="98" t="e">
        <f>SUM(1.3*#REF!)/40</f>
        <v>#REF!</v>
      </c>
    </row>
    <row r="670" spans="2:15" x14ac:dyDescent="0.25">
      <c r="B670" s="13"/>
      <c r="C670" s="188"/>
      <c r="D670" s="188"/>
      <c r="E670" s="14" t="s">
        <v>5761</v>
      </c>
      <c r="F670" s="14"/>
      <c r="O670" s="98"/>
    </row>
    <row r="671" spans="2:15" x14ac:dyDescent="0.25">
      <c r="B671" s="14" t="s">
        <v>1710</v>
      </c>
      <c r="C671" s="290" t="s">
        <v>972</v>
      </c>
      <c r="D671" s="290"/>
      <c r="E671" s="14" t="s">
        <v>5762</v>
      </c>
      <c r="F671" s="14"/>
      <c r="O671" s="98" t="e">
        <f>SUM(8*#REF!)/40</f>
        <v>#REF!</v>
      </c>
    </row>
    <row r="672" spans="2:15" x14ac:dyDescent="0.25">
      <c r="B672" s="14"/>
      <c r="C672" s="189"/>
      <c r="D672" s="189"/>
      <c r="E672" s="14" t="s">
        <v>5763</v>
      </c>
      <c r="F672" s="14"/>
      <c r="O672" s="98"/>
    </row>
    <row r="673" spans="2:17" x14ac:dyDescent="0.25">
      <c r="B673" s="13" t="s">
        <v>859</v>
      </c>
      <c r="C673" s="252" t="s">
        <v>525</v>
      </c>
      <c r="D673" s="252"/>
      <c r="E673" s="14"/>
      <c r="F673" s="14"/>
      <c r="O673" s="102" t="e">
        <f>SUM(2.67*#REF!)/40</f>
        <v>#REF!</v>
      </c>
    </row>
    <row r="674" spans="2:17" x14ac:dyDescent="0.25">
      <c r="B674" s="13"/>
      <c r="C674" s="188"/>
      <c r="D674" s="188"/>
      <c r="E674" s="14"/>
      <c r="F674" s="14"/>
      <c r="O674" s="102"/>
    </row>
    <row r="675" spans="2:17" x14ac:dyDescent="0.25">
      <c r="B675" s="14" t="s">
        <v>3991</v>
      </c>
      <c r="C675" s="290" t="s">
        <v>517</v>
      </c>
      <c r="D675" s="290"/>
      <c r="E675" s="14"/>
      <c r="F675" s="14"/>
      <c r="O675" s="103" t="e">
        <f>SUM(4*#REF!)/40</f>
        <v>#REF!</v>
      </c>
    </row>
    <row r="676" spans="2:17" x14ac:dyDescent="0.25">
      <c r="B676" s="14"/>
      <c r="C676" s="189"/>
      <c r="D676" s="189"/>
      <c r="E676" s="14"/>
      <c r="F676" s="14"/>
      <c r="O676" s="98"/>
    </row>
    <row r="677" spans="2:17" x14ac:dyDescent="0.25">
      <c r="B677" s="13" t="s">
        <v>2879</v>
      </c>
      <c r="C677" s="252" t="s">
        <v>5764</v>
      </c>
      <c r="D677" s="252"/>
      <c r="E677" s="14"/>
      <c r="F677" s="14"/>
      <c r="O677" s="98" t="e">
        <f>SUM(1.625*#REF!)/40</f>
        <v>#REF!</v>
      </c>
    </row>
    <row r="678" spans="2:17" x14ac:dyDescent="0.25">
      <c r="B678" s="13"/>
      <c r="C678" s="188"/>
      <c r="D678" s="188"/>
      <c r="E678" s="14"/>
      <c r="F678" s="14"/>
      <c r="O678" s="98"/>
    </row>
    <row r="679" spans="2:17" x14ac:dyDescent="0.25">
      <c r="B679" s="14" t="s">
        <v>1840</v>
      </c>
      <c r="C679" s="290" t="s">
        <v>517</v>
      </c>
      <c r="D679" s="290"/>
      <c r="E679" s="14"/>
      <c r="F679" s="14"/>
      <c r="O679" s="102" t="e">
        <f>SUM(4*#REF!)/40</f>
        <v>#REF!</v>
      </c>
    </row>
    <row r="680" spans="2:17" x14ac:dyDescent="0.25">
      <c r="B680" s="14"/>
      <c r="C680" s="189"/>
      <c r="D680" s="189"/>
      <c r="E680" s="14"/>
      <c r="F680" s="14"/>
      <c r="O680" s="98"/>
    </row>
    <row r="681" spans="2:17" x14ac:dyDescent="0.25">
      <c r="B681" s="13" t="s">
        <v>3833</v>
      </c>
      <c r="C681" s="252" t="s">
        <v>517</v>
      </c>
      <c r="D681" s="252"/>
      <c r="E681" s="14"/>
      <c r="F681" s="14"/>
      <c r="O681" s="103" t="e">
        <f>SUM(4*#REF!)/40</f>
        <v>#REF!</v>
      </c>
    </row>
    <row r="682" spans="2:17" x14ac:dyDescent="0.25">
      <c r="B682" s="13"/>
      <c r="C682" s="188"/>
      <c r="D682" s="188"/>
      <c r="E682" s="14"/>
      <c r="F682" s="14"/>
      <c r="O682" s="98"/>
    </row>
    <row r="683" spans="2:17" x14ac:dyDescent="0.25">
      <c r="B683" s="14" t="s">
        <v>518</v>
      </c>
      <c r="C683" s="290" t="s">
        <v>516</v>
      </c>
      <c r="D683" s="290"/>
      <c r="E683" s="14"/>
      <c r="F683" s="14"/>
      <c r="O683" s="167" t="e">
        <f>SUM(1*#REF!)/40</f>
        <v>#REF!</v>
      </c>
    </row>
    <row r="684" spans="2:17" x14ac:dyDescent="0.25">
      <c r="B684" s="14"/>
      <c r="C684" s="189"/>
      <c r="D684" s="189"/>
      <c r="E684" s="14"/>
      <c r="F684" s="14"/>
      <c r="O684" s="98"/>
    </row>
    <row r="685" spans="2:17" x14ac:dyDescent="0.25">
      <c r="B685" s="13" t="s">
        <v>5765</v>
      </c>
      <c r="C685" s="252" t="s">
        <v>373</v>
      </c>
      <c r="D685" s="252"/>
      <c r="E685" s="14"/>
      <c r="F685" s="14"/>
      <c r="O685" s="98" t="e">
        <f>SUM(1.3*#REF!)/40</f>
        <v>#REF!</v>
      </c>
    </row>
    <row r="686" spans="2:17" x14ac:dyDescent="0.25">
      <c r="B686" s="13" t="s">
        <v>5766</v>
      </c>
      <c r="C686" s="188"/>
      <c r="D686" s="188"/>
      <c r="E686" s="14"/>
      <c r="F686" s="14"/>
    </row>
    <row r="687" spans="2:17" x14ac:dyDescent="0.25">
      <c r="B687" s="14" t="s">
        <v>5767</v>
      </c>
      <c r="C687" s="290" t="s">
        <v>373</v>
      </c>
      <c r="D687" s="290"/>
      <c r="E687" s="14"/>
      <c r="F687" s="14"/>
      <c r="O687" s="99" t="e">
        <f>SUM(1.3*#REF!)/40</f>
        <v>#REF!</v>
      </c>
    </row>
    <row r="688" spans="2:17" x14ac:dyDescent="0.25">
      <c r="B688" s="14"/>
      <c r="C688" s="189"/>
      <c r="D688" s="189"/>
      <c r="F688" s="14"/>
      <c r="O688" t="s">
        <v>5768</v>
      </c>
      <c r="Q688" t="s">
        <v>5769</v>
      </c>
    </row>
    <row r="689" spans="2:17" x14ac:dyDescent="0.25">
      <c r="B689" s="217" t="s">
        <v>401</v>
      </c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9"/>
      <c r="O689" s="100" t="e">
        <f>SUM(O665:O685)</f>
        <v>#REF!</v>
      </c>
      <c r="Q689" s="117" t="e">
        <f>SUM(O665:O687)</f>
        <v>#REF!</v>
      </c>
    </row>
    <row r="690" spans="2:17" x14ac:dyDescent="0.25">
      <c r="B690" s="3" t="s">
        <v>402</v>
      </c>
      <c r="C690" s="232" t="s">
        <v>403</v>
      </c>
      <c r="D690" s="232"/>
      <c r="E690" s="232" t="s">
        <v>467</v>
      </c>
      <c r="F690" s="232"/>
      <c r="G690" s="232" t="s">
        <v>405</v>
      </c>
      <c r="H690" s="232"/>
      <c r="I690" s="232" t="s">
        <v>406</v>
      </c>
      <c r="J690" s="232"/>
      <c r="K690" s="234" t="s">
        <v>468</v>
      </c>
      <c r="L690" s="235"/>
      <c r="M690" s="236"/>
    </row>
    <row r="691" spans="2:17" x14ac:dyDescent="0.25">
      <c r="B691" s="5">
        <v>0.56000000000000005</v>
      </c>
      <c r="C691" s="237">
        <v>1.1499999999999999</v>
      </c>
      <c r="D691" s="238"/>
      <c r="E691" s="239"/>
      <c r="F691" s="238"/>
      <c r="G691" s="240">
        <v>7.0000000000000007E-2</v>
      </c>
      <c r="H691" s="240"/>
      <c r="I691" s="241"/>
      <c r="J691" s="241"/>
      <c r="K691" s="242"/>
      <c r="L691" s="243"/>
      <c r="M691" s="244"/>
    </row>
    <row r="692" spans="2:17" x14ac:dyDescent="0.25">
      <c r="B692" s="1"/>
      <c r="C692" s="1"/>
      <c r="D692" s="1"/>
      <c r="E692" s="1"/>
      <c r="F692" s="1"/>
      <c r="G692" s="1"/>
      <c r="H692" s="1"/>
    </row>
    <row r="693" spans="2:17" x14ac:dyDescent="0.25">
      <c r="B693" s="217" t="s">
        <v>408</v>
      </c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9"/>
    </row>
    <row r="694" spans="2:17" x14ac:dyDescent="0.25">
      <c r="B694" s="122" t="s">
        <v>5770</v>
      </c>
      <c r="C694" s="220" t="s">
        <v>5771</v>
      </c>
      <c r="D694" s="220"/>
      <c r="E694" s="221" t="s">
        <v>2041</v>
      </c>
      <c r="F694" s="221"/>
      <c r="G694" s="221" t="s">
        <v>3839</v>
      </c>
      <c r="H694" s="221"/>
      <c r="I694" s="220" t="s">
        <v>5772</v>
      </c>
      <c r="J694" s="220"/>
      <c r="K694" s="220" t="s">
        <v>827</v>
      </c>
      <c r="L694" s="220"/>
      <c r="M694" s="222"/>
    </row>
    <row r="695" spans="2:17" x14ac:dyDescent="0.25">
      <c r="B695" s="124" t="s">
        <v>5773</v>
      </c>
      <c r="C695" s="245" t="s">
        <v>3302</v>
      </c>
      <c r="D695" s="246"/>
      <c r="E695" s="247" t="s">
        <v>5774</v>
      </c>
      <c r="F695" s="247"/>
      <c r="G695" s="247" t="s">
        <v>5775</v>
      </c>
      <c r="H695" s="247"/>
      <c r="I695" s="248" t="s">
        <v>5776</v>
      </c>
      <c r="J695" s="248"/>
      <c r="K695" s="247" t="s">
        <v>5777</v>
      </c>
      <c r="L695" s="247"/>
      <c r="M695" s="249"/>
    </row>
    <row r="696" spans="2:17" x14ac:dyDescent="0.25">
      <c r="B696" s="168" t="s">
        <v>5778</v>
      </c>
      <c r="C696" s="257" t="s">
        <v>422</v>
      </c>
      <c r="D696" s="258"/>
      <c r="E696" s="259" t="s">
        <v>5779</v>
      </c>
      <c r="F696" s="259"/>
      <c r="G696" s="260" t="s">
        <v>573</v>
      </c>
      <c r="H696" s="260"/>
      <c r="I696" s="260" t="s">
        <v>574</v>
      </c>
      <c r="J696" s="260"/>
      <c r="K696" s="260" t="s">
        <v>575</v>
      </c>
      <c r="L696" s="260"/>
      <c r="M696" s="261"/>
    </row>
  </sheetData>
  <mergeCells count="1024"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33:D33"/>
    <mergeCell ref="K34:M34"/>
    <mergeCell ref="I34:J34"/>
    <mergeCell ref="G34:H34"/>
    <mergeCell ref="E34:F34"/>
    <mergeCell ref="C34:D34"/>
    <mergeCell ref="C38:D38"/>
    <mergeCell ref="E38:F38"/>
    <mergeCell ref="G38:H38"/>
    <mergeCell ref="I38:J38"/>
    <mergeCell ref="K38:M38"/>
    <mergeCell ref="B40:M40"/>
    <mergeCell ref="C41:D41"/>
    <mergeCell ref="E41:F41"/>
    <mergeCell ref="G41:H41"/>
    <mergeCell ref="I41:J41"/>
    <mergeCell ref="K41:M41"/>
    <mergeCell ref="E656:F656"/>
    <mergeCell ref="G656:H656"/>
    <mergeCell ref="I656:J656"/>
    <mergeCell ref="K656:M656"/>
    <mergeCell ref="C394:D394"/>
    <mergeCell ref="E394:F394"/>
    <mergeCell ref="G394:H394"/>
    <mergeCell ref="I394:J394"/>
    <mergeCell ref="K394:M394"/>
    <mergeCell ref="C111:D111"/>
    <mergeCell ref="E111:F111"/>
    <mergeCell ref="G111:H111"/>
    <mergeCell ref="I111:J111"/>
    <mergeCell ref="K111:M111"/>
    <mergeCell ref="C151:D151"/>
    <mergeCell ref="E151:F151"/>
    <mergeCell ref="G151:H151"/>
    <mergeCell ref="I151:J151"/>
    <mergeCell ref="K151:M151"/>
    <mergeCell ref="B281:M281"/>
    <mergeCell ref="C283:D283"/>
    <mergeCell ref="E283:F283"/>
    <mergeCell ref="G283:H283"/>
    <mergeCell ref="I283:J283"/>
    <mergeCell ref="K283:M283"/>
    <mergeCell ref="B277:M277"/>
    <mergeCell ref="C327:D327"/>
    <mergeCell ref="E327:F327"/>
    <mergeCell ref="B651:M651"/>
    <mergeCell ref="C652:D652"/>
    <mergeCell ref="E652:F652"/>
    <mergeCell ref="G652:H652"/>
    <mergeCell ref="I652:J652"/>
    <mergeCell ref="K652:M652"/>
    <mergeCell ref="C640:H640"/>
    <mergeCell ref="F641:G641"/>
    <mergeCell ref="C643:D643"/>
    <mergeCell ref="E643:K643"/>
    <mergeCell ref="C645:D645"/>
    <mergeCell ref="C647:D647"/>
    <mergeCell ref="G327:H327"/>
    <mergeCell ref="I327:J327"/>
    <mergeCell ref="K327:M327"/>
    <mergeCell ref="C658:D658"/>
    <mergeCell ref="E658:F658"/>
    <mergeCell ref="G658:H658"/>
    <mergeCell ref="I658:J658"/>
    <mergeCell ref="K658:M658"/>
    <mergeCell ref="C657:D657"/>
    <mergeCell ref="E657:F657"/>
    <mergeCell ref="G657:H657"/>
    <mergeCell ref="I657:J657"/>
    <mergeCell ref="K657:M657"/>
    <mergeCell ref="C653:D653"/>
    <mergeCell ref="E653:F653"/>
    <mergeCell ref="G653:H653"/>
    <mergeCell ref="I653:J653"/>
    <mergeCell ref="K653:M653"/>
    <mergeCell ref="B655:M655"/>
    <mergeCell ref="C656:D656"/>
    <mergeCell ref="C634:D634"/>
    <mergeCell ref="E634:F634"/>
    <mergeCell ref="G634:H634"/>
    <mergeCell ref="I634:J634"/>
    <mergeCell ref="K634:M634"/>
    <mergeCell ref="B636:M636"/>
    <mergeCell ref="C637:D637"/>
    <mergeCell ref="E637:F637"/>
    <mergeCell ref="G637:H637"/>
    <mergeCell ref="I637:J637"/>
    <mergeCell ref="K637:M637"/>
    <mergeCell ref="C638:D638"/>
    <mergeCell ref="E638:F638"/>
    <mergeCell ref="G638:H638"/>
    <mergeCell ref="I638:J638"/>
    <mergeCell ref="K638:M638"/>
    <mergeCell ref="C649:D649"/>
    <mergeCell ref="C626:D626"/>
    <mergeCell ref="E626:F626"/>
    <mergeCell ref="C628:D628"/>
    <mergeCell ref="E628:F628"/>
    <mergeCell ref="C630:D630"/>
    <mergeCell ref="E630:F630"/>
    <mergeCell ref="C617:H617"/>
    <mergeCell ref="F618:G618"/>
    <mergeCell ref="C620:D620"/>
    <mergeCell ref="E620:F620"/>
    <mergeCell ref="G620:M620"/>
    <mergeCell ref="C622:D622"/>
    <mergeCell ref="E622:F622"/>
    <mergeCell ref="C624:D624"/>
    <mergeCell ref="E624:F624"/>
    <mergeCell ref="B632:M632"/>
    <mergeCell ref="C633:D633"/>
    <mergeCell ref="E633:F633"/>
    <mergeCell ref="G633:H633"/>
    <mergeCell ref="I633:J633"/>
    <mergeCell ref="K633:M633"/>
    <mergeCell ref="C610:D610"/>
    <mergeCell ref="E610:F610"/>
    <mergeCell ref="G610:H610"/>
    <mergeCell ref="I610:J610"/>
    <mergeCell ref="K610:M610"/>
    <mergeCell ref="C611:D611"/>
    <mergeCell ref="E611:F611"/>
    <mergeCell ref="G611:H611"/>
    <mergeCell ref="I611:J611"/>
    <mergeCell ref="K611:M611"/>
    <mergeCell ref="B613:M613"/>
    <mergeCell ref="C614:D614"/>
    <mergeCell ref="E614:F614"/>
    <mergeCell ref="G614:H614"/>
    <mergeCell ref="I614:J614"/>
    <mergeCell ref="K614:M614"/>
    <mergeCell ref="C615:D615"/>
    <mergeCell ref="E615:F615"/>
    <mergeCell ref="G615:H615"/>
    <mergeCell ref="I615:J615"/>
    <mergeCell ref="K615:M615"/>
    <mergeCell ref="F591:G591"/>
    <mergeCell ref="C593:D593"/>
    <mergeCell ref="E593:F593"/>
    <mergeCell ref="G593:M593"/>
    <mergeCell ref="C590:H590"/>
    <mergeCell ref="C605:D605"/>
    <mergeCell ref="E605:F605"/>
    <mergeCell ref="C607:D607"/>
    <mergeCell ref="E607:F607"/>
    <mergeCell ref="B609:M609"/>
    <mergeCell ref="C595:D595"/>
    <mergeCell ref="E595:F595"/>
    <mergeCell ref="C597:D597"/>
    <mergeCell ref="E597:F597"/>
    <mergeCell ref="C599:D599"/>
    <mergeCell ref="E599:F599"/>
    <mergeCell ref="C601:D601"/>
    <mergeCell ref="E601:F601"/>
    <mergeCell ref="C603:D603"/>
    <mergeCell ref="E603:F603"/>
    <mergeCell ref="C583:D583"/>
    <mergeCell ref="E583:F583"/>
    <mergeCell ref="G583:H583"/>
    <mergeCell ref="I583:J583"/>
    <mergeCell ref="K583:M583"/>
    <mergeCell ref="C584:D584"/>
    <mergeCell ref="E584:F584"/>
    <mergeCell ref="G584:H584"/>
    <mergeCell ref="I584:J584"/>
    <mergeCell ref="K584:M584"/>
    <mergeCell ref="B586:M586"/>
    <mergeCell ref="C587:D587"/>
    <mergeCell ref="E587:F587"/>
    <mergeCell ref="G587:H587"/>
    <mergeCell ref="I587:J587"/>
    <mergeCell ref="K587:M587"/>
    <mergeCell ref="C588:D588"/>
    <mergeCell ref="E588:F588"/>
    <mergeCell ref="G588:H588"/>
    <mergeCell ref="I588:J588"/>
    <mergeCell ref="K588:M588"/>
    <mergeCell ref="C558:D558"/>
    <mergeCell ref="E558:F558"/>
    <mergeCell ref="C560:D560"/>
    <mergeCell ref="E560:F560"/>
    <mergeCell ref="C562:D562"/>
    <mergeCell ref="E562:F562"/>
    <mergeCell ref="C564:D564"/>
    <mergeCell ref="E564:F564"/>
    <mergeCell ref="C566:D566"/>
    <mergeCell ref="E566:F566"/>
    <mergeCell ref="C568:D568"/>
    <mergeCell ref="E568:F568"/>
    <mergeCell ref="C570:D570"/>
    <mergeCell ref="E570:F570"/>
    <mergeCell ref="C572:D572"/>
    <mergeCell ref="E572:F572"/>
    <mergeCell ref="B582:M582"/>
    <mergeCell ref="E541:F541"/>
    <mergeCell ref="B543:M543"/>
    <mergeCell ref="C544:D544"/>
    <mergeCell ref="E544:F544"/>
    <mergeCell ref="G544:H544"/>
    <mergeCell ref="C551:G551"/>
    <mergeCell ref="F552:G552"/>
    <mergeCell ref="C554:D554"/>
    <mergeCell ref="E554:F554"/>
    <mergeCell ref="G554:M554"/>
    <mergeCell ref="C556:D556"/>
    <mergeCell ref="E556:F556"/>
    <mergeCell ref="B547:M547"/>
    <mergeCell ref="C548:D548"/>
    <mergeCell ref="E548:F548"/>
    <mergeCell ref="G548:H548"/>
    <mergeCell ref="I548:J548"/>
    <mergeCell ref="K548:M548"/>
    <mergeCell ref="C549:D549"/>
    <mergeCell ref="E549:F549"/>
    <mergeCell ref="G549:H549"/>
    <mergeCell ref="I549:J549"/>
    <mergeCell ref="K549:M549"/>
    <mergeCell ref="C522:D522"/>
    <mergeCell ref="E522:F522"/>
    <mergeCell ref="G522:H522"/>
    <mergeCell ref="I522:J522"/>
    <mergeCell ref="K522:M522"/>
    <mergeCell ref="C524:K524"/>
    <mergeCell ref="F525:G525"/>
    <mergeCell ref="C527:D527"/>
    <mergeCell ref="E527:F527"/>
    <mergeCell ref="G527:M527"/>
    <mergeCell ref="C529:D529"/>
    <mergeCell ref="E529:F529"/>
    <mergeCell ref="C531:D531"/>
    <mergeCell ref="E531:F531"/>
    <mergeCell ref="I544:J544"/>
    <mergeCell ref="K544:M544"/>
    <mergeCell ref="C545:D545"/>
    <mergeCell ref="E545:F545"/>
    <mergeCell ref="G545:H545"/>
    <mergeCell ref="I545:J545"/>
    <mergeCell ref="K545:M545"/>
    <mergeCell ref="C533:D533"/>
    <mergeCell ref="E533:F533"/>
    <mergeCell ref="C534:D534"/>
    <mergeCell ref="E534:F534"/>
    <mergeCell ref="C535:D535"/>
    <mergeCell ref="E535:F535"/>
    <mergeCell ref="C537:D537"/>
    <mergeCell ref="E537:F537"/>
    <mergeCell ref="C539:D539"/>
    <mergeCell ref="E539:F539"/>
    <mergeCell ref="C541:D541"/>
    <mergeCell ref="B516:M516"/>
    <mergeCell ref="C517:D517"/>
    <mergeCell ref="E517:F517"/>
    <mergeCell ref="G517:H517"/>
    <mergeCell ref="I517:J517"/>
    <mergeCell ref="K517:M517"/>
    <mergeCell ref="C518:D518"/>
    <mergeCell ref="E518:F518"/>
    <mergeCell ref="G518:H518"/>
    <mergeCell ref="I518:J518"/>
    <mergeCell ref="K518:M518"/>
    <mergeCell ref="B520:M520"/>
    <mergeCell ref="C521:D521"/>
    <mergeCell ref="E521:F521"/>
    <mergeCell ref="G521:H521"/>
    <mergeCell ref="I521:J521"/>
    <mergeCell ref="K521:M521"/>
    <mergeCell ref="B491:M491"/>
    <mergeCell ref="C514:D514"/>
    <mergeCell ref="E514:F514"/>
    <mergeCell ref="C506:D506"/>
    <mergeCell ref="E506:F506"/>
    <mergeCell ref="C508:D508"/>
    <mergeCell ref="E508:F508"/>
    <mergeCell ref="C509:D509"/>
    <mergeCell ref="E509:F509"/>
    <mergeCell ref="C510:D510"/>
    <mergeCell ref="E510:F510"/>
    <mergeCell ref="C512:D512"/>
    <mergeCell ref="E512:F512"/>
    <mergeCell ref="C499:K499"/>
    <mergeCell ref="F500:G500"/>
    <mergeCell ref="C502:D502"/>
    <mergeCell ref="E502:F502"/>
    <mergeCell ref="G502:M502"/>
    <mergeCell ref="C504:D504"/>
    <mergeCell ref="E504:F504"/>
    <mergeCell ref="B495:M495"/>
    <mergeCell ref="C496:D496"/>
    <mergeCell ref="E496:F496"/>
    <mergeCell ref="G496:H496"/>
    <mergeCell ref="I496:J496"/>
    <mergeCell ref="K496:M496"/>
    <mergeCell ref="C497:D497"/>
    <mergeCell ref="E497:F497"/>
    <mergeCell ref="G497:H497"/>
    <mergeCell ref="I497:J497"/>
    <mergeCell ref="K497:M497"/>
    <mergeCell ref="C492:D492"/>
    <mergeCell ref="E492:F492"/>
    <mergeCell ref="G492:H492"/>
    <mergeCell ref="I492:J492"/>
    <mergeCell ref="K492:M492"/>
    <mergeCell ref="C493:D493"/>
    <mergeCell ref="E493:F493"/>
    <mergeCell ref="G493:H493"/>
    <mergeCell ref="I493:J493"/>
    <mergeCell ref="K493:M493"/>
    <mergeCell ref="C468:K468"/>
    <mergeCell ref="F469:G469"/>
    <mergeCell ref="C471:D471"/>
    <mergeCell ref="E471:F471"/>
    <mergeCell ref="G471:M471"/>
    <mergeCell ref="C473:D473"/>
    <mergeCell ref="E473:F473"/>
    <mergeCell ref="C475:D475"/>
    <mergeCell ref="E475:F475"/>
    <mergeCell ref="C489:D489"/>
    <mergeCell ref="E489:F489"/>
    <mergeCell ref="C477:D477"/>
    <mergeCell ref="E477:F477"/>
    <mergeCell ref="C479:D479"/>
    <mergeCell ref="E479:F479"/>
    <mergeCell ref="C481:D481"/>
    <mergeCell ref="E481:F481"/>
    <mergeCell ref="C483:D483"/>
    <mergeCell ref="E483:F483"/>
    <mergeCell ref="C485:D485"/>
    <mergeCell ref="E485:F485"/>
    <mergeCell ref="C478:D478"/>
    <mergeCell ref="C486:D486"/>
    <mergeCell ref="E478:F478"/>
    <mergeCell ref="E486:F486"/>
    <mergeCell ref="C487:D487"/>
    <mergeCell ref="E487:F487"/>
    <mergeCell ref="C466:D466"/>
    <mergeCell ref="E466:F466"/>
    <mergeCell ref="G466:H466"/>
    <mergeCell ref="I466:J466"/>
    <mergeCell ref="K466:M466"/>
    <mergeCell ref="C447:D447"/>
    <mergeCell ref="C449:D449"/>
    <mergeCell ref="C455:D455"/>
    <mergeCell ref="E447:F447"/>
    <mergeCell ref="E449:F449"/>
    <mergeCell ref="E455:F455"/>
    <mergeCell ref="C462:D462"/>
    <mergeCell ref="E462:F462"/>
    <mergeCell ref="G462:H462"/>
    <mergeCell ref="I462:J462"/>
    <mergeCell ref="K462:M462"/>
    <mergeCell ref="B464:M464"/>
    <mergeCell ref="C465:D465"/>
    <mergeCell ref="E465:F465"/>
    <mergeCell ref="G465:H465"/>
    <mergeCell ref="I465:J465"/>
    <mergeCell ref="K465:M465"/>
    <mergeCell ref="C450:D450"/>
    <mergeCell ref="E450:F450"/>
    <mergeCell ref="F442:G442"/>
    <mergeCell ref="C444:D444"/>
    <mergeCell ref="E444:F444"/>
    <mergeCell ref="G444:M444"/>
    <mergeCell ref="C446:D446"/>
    <mergeCell ref="E446:F446"/>
    <mergeCell ref="C448:D448"/>
    <mergeCell ref="E448:F448"/>
    <mergeCell ref="C452:D452"/>
    <mergeCell ref="E452:F452"/>
    <mergeCell ref="C454:D454"/>
    <mergeCell ref="E454:F454"/>
    <mergeCell ref="B460:M460"/>
    <mergeCell ref="C461:D461"/>
    <mergeCell ref="E461:F461"/>
    <mergeCell ref="G461:H461"/>
    <mergeCell ref="I461:J461"/>
    <mergeCell ref="K461:M461"/>
    <mergeCell ref="C435:D435"/>
    <mergeCell ref="E435:F435"/>
    <mergeCell ref="G435:H435"/>
    <mergeCell ref="I435:J435"/>
    <mergeCell ref="K435:M435"/>
    <mergeCell ref="B437:M437"/>
    <mergeCell ref="C438:D438"/>
    <mergeCell ref="E438:F438"/>
    <mergeCell ref="G438:H438"/>
    <mergeCell ref="I438:J438"/>
    <mergeCell ref="K438:M438"/>
    <mergeCell ref="C439:D439"/>
    <mergeCell ref="E439:F439"/>
    <mergeCell ref="G439:H439"/>
    <mergeCell ref="I439:J439"/>
    <mergeCell ref="K439:M439"/>
    <mergeCell ref="C441:K441"/>
    <mergeCell ref="F419:G419"/>
    <mergeCell ref="C421:D421"/>
    <mergeCell ref="E421:F421"/>
    <mergeCell ref="G421:M421"/>
    <mergeCell ref="C423:D423"/>
    <mergeCell ref="E423:F423"/>
    <mergeCell ref="C425:D425"/>
    <mergeCell ref="E425:F425"/>
    <mergeCell ref="C427:D427"/>
    <mergeCell ref="E427:F427"/>
    <mergeCell ref="C429:D429"/>
    <mergeCell ref="E429:F429"/>
    <mergeCell ref="B433:M433"/>
    <mergeCell ref="C431:D431"/>
    <mergeCell ref="E431:F431"/>
    <mergeCell ref="C434:D434"/>
    <mergeCell ref="E434:F434"/>
    <mergeCell ref="G434:H434"/>
    <mergeCell ref="I434:J434"/>
    <mergeCell ref="K434:M434"/>
    <mergeCell ref="C412:D412"/>
    <mergeCell ref="E412:F412"/>
    <mergeCell ref="G412:H412"/>
    <mergeCell ref="I412:J412"/>
    <mergeCell ref="K412:M412"/>
    <mergeCell ref="B414:M414"/>
    <mergeCell ref="C415:D415"/>
    <mergeCell ref="E415:F415"/>
    <mergeCell ref="G415:H415"/>
    <mergeCell ref="I415:J415"/>
    <mergeCell ref="K415:M415"/>
    <mergeCell ref="C416:D416"/>
    <mergeCell ref="E416:F416"/>
    <mergeCell ref="G416:H416"/>
    <mergeCell ref="I416:J416"/>
    <mergeCell ref="K416:M416"/>
    <mergeCell ref="C418:K418"/>
    <mergeCell ref="F398:G398"/>
    <mergeCell ref="C400:D400"/>
    <mergeCell ref="E400:F400"/>
    <mergeCell ref="G400:M400"/>
    <mergeCell ref="B410:M410"/>
    <mergeCell ref="C411:D411"/>
    <mergeCell ref="E411:F411"/>
    <mergeCell ref="G411:H411"/>
    <mergeCell ref="I411:J411"/>
    <mergeCell ref="K411:M411"/>
    <mergeCell ref="C402:D402"/>
    <mergeCell ref="E402:F402"/>
    <mergeCell ref="C404:D404"/>
    <mergeCell ref="E404:F404"/>
    <mergeCell ref="C406:D406"/>
    <mergeCell ref="E406:F406"/>
    <mergeCell ref="C408:D408"/>
    <mergeCell ref="E408:F408"/>
    <mergeCell ref="C390:D390"/>
    <mergeCell ref="E390:F390"/>
    <mergeCell ref="G390:H390"/>
    <mergeCell ref="I390:J390"/>
    <mergeCell ref="K390:M390"/>
    <mergeCell ref="B392:M392"/>
    <mergeCell ref="C393:D393"/>
    <mergeCell ref="E393:F393"/>
    <mergeCell ref="G393:H393"/>
    <mergeCell ref="I393:J393"/>
    <mergeCell ref="K393:M393"/>
    <mergeCell ref="C395:D395"/>
    <mergeCell ref="E395:F395"/>
    <mergeCell ref="G395:H395"/>
    <mergeCell ref="I395:J395"/>
    <mergeCell ref="K395:M395"/>
    <mergeCell ref="C397:K397"/>
    <mergeCell ref="C374:D374"/>
    <mergeCell ref="E374:F374"/>
    <mergeCell ref="C376:D376"/>
    <mergeCell ref="E376:F376"/>
    <mergeCell ref="C378:D378"/>
    <mergeCell ref="E378:F378"/>
    <mergeCell ref="C380:D380"/>
    <mergeCell ref="E380:F380"/>
    <mergeCell ref="B388:M388"/>
    <mergeCell ref="C389:D389"/>
    <mergeCell ref="E389:F389"/>
    <mergeCell ref="G389:H389"/>
    <mergeCell ref="I389:J389"/>
    <mergeCell ref="K389:M389"/>
    <mergeCell ref="C382:D382"/>
    <mergeCell ref="E382:F382"/>
    <mergeCell ref="C384:D384"/>
    <mergeCell ref="E384:F384"/>
    <mergeCell ref="C386:D386"/>
    <mergeCell ref="E386:F386"/>
    <mergeCell ref="B363:M363"/>
    <mergeCell ref="C364:D364"/>
    <mergeCell ref="E364:F364"/>
    <mergeCell ref="G364:H364"/>
    <mergeCell ref="I364:J364"/>
    <mergeCell ref="K364:M364"/>
    <mergeCell ref="C365:D365"/>
    <mergeCell ref="E365:F365"/>
    <mergeCell ref="G365:H365"/>
    <mergeCell ref="I365:J365"/>
    <mergeCell ref="K365:M365"/>
    <mergeCell ref="C367:K367"/>
    <mergeCell ref="F368:G368"/>
    <mergeCell ref="C370:D370"/>
    <mergeCell ref="E370:F370"/>
    <mergeCell ref="G370:M370"/>
    <mergeCell ref="C372:D372"/>
    <mergeCell ref="E372:F372"/>
    <mergeCell ref="C349:D349"/>
    <mergeCell ref="E349:F349"/>
    <mergeCell ref="B359:M359"/>
    <mergeCell ref="C360:D360"/>
    <mergeCell ref="E360:F360"/>
    <mergeCell ref="G360:H360"/>
    <mergeCell ref="I360:J360"/>
    <mergeCell ref="K360:M360"/>
    <mergeCell ref="C351:D351"/>
    <mergeCell ref="E351:F351"/>
    <mergeCell ref="C353:D353"/>
    <mergeCell ref="E353:F353"/>
    <mergeCell ref="C355:D355"/>
    <mergeCell ref="E355:F355"/>
    <mergeCell ref="C357:D357"/>
    <mergeCell ref="E357:F357"/>
    <mergeCell ref="C361:D361"/>
    <mergeCell ref="E361:F361"/>
    <mergeCell ref="G361:H361"/>
    <mergeCell ref="I361:J361"/>
    <mergeCell ref="K361:M361"/>
    <mergeCell ref="F331:G331"/>
    <mergeCell ref="C333:D333"/>
    <mergeCell ref="E333:F333"/>
    <mergeCell ref="G333:M333"/>
    <mergeCell ref="C335:D335"/>
    <mergeCell ref="E335:F335"/>
    <mergeCell ref="C337:D337"/>
    <mergeCell ref="E337:F337"/>
    <mergeCell ref="C339:D339"/>
    <mergeCell ref="E339:F339"/>
    <mergeCell ref="C341:D341"/>
    <mergeCell ref="E341:F341"/>
    <mergeCell ref="C343:D343"/>
    <mergeCell ref="E343:F343"/>
    <mergeCell ref="C345:D345"/>
    <mergeCell ref="E345:F345"/>
    <mergeCell ref="C347:D347"/>
    <mergeCell ref="E347:F347"/>
    <mergeCell ref="C328:D328"/>
    <mergeCell ref="E328:F328"/>
    <mergeCell ref="G328:H328"/>
    <mergeCell ref="I328:J328"/>
    <mergeCell ref="K328:M328"/>
    <mergeCell ref="C286:K286"/>
    <mergeCell ref="C319:D319"/>
    <mergeCell ref="E319:F319"/>
    <mergeCell ref="C330:K330"/>
    <mergeCell ref="C323:D323"/>
    <mergeCell ref="E323:F323"/>
    <mergeCell ref="G323:H323"/>
    <mergeCell ref="I323:J323"/>
    <mergeCell ref="K323:M323"/>
    <mergeCell ref="B325:M325"/>
    <mergeCell ref="C326:D326"/>
    <mergeCell ref="E326:F326"/>
    <mergeCell ref="G326:H326"/>
    <mergeCell ref="I326:J326"/>
    <mergeCell ref="K326:M326"/>
    <mergeCell ref="C315:D315"/>
    <mergeCell ref="E315:F315"/>
    <mergeCell ref="C317:D317"/>
    <mergeCell ref="E317:F317"/>
    <mergeCell ref="C295:D295"/>
    <mergeCell ref="E295:F295"/>
    <mergeCell ref="C297:D297"/>
    <mergeCell ref="E297:F297"/>
    <mergeCell ref="C299:D299"/>
    <mergeCell ref="E299:F299"/>
    <mergeCell ref="C301:D301"/>
    <mergeCell ref="E301:F301"/>
    <mergeCell ref="C303:D303"/>
    <mergeCell ref="E303:F303"/>
    <mergeCell ref="B321:M321"/>
    <mergeCell ref="C322:D322"/>
    <mergeCell ref="E322:F322"/>
    <mergeCell ref="G322:H322"/>
    <mergeCell ref="I322:J322"/>
    <mergeCell ref="K322:M322"/>
    <mergeCell ref="C305:D305"/>
    <mergeCell ref="E305:F305"/>
    <mergeCell ref="C307:D307"/>
    <mergeCell ref="E307:F307"/>
    <mergeCell ref="C309:D309"/>
    <mergeCell ref="E309:F309"/>
    <mergeCell ref="C311:D311"/>
    <mergeCell ref="E311:F311"/>
    <mergeCell ref="C313:D313"/>
    <mergeCell ref="E313:F313"/>
    <mergeCell ref="C293:D293"/>
    <mergeCell ref="E293:F293"/>
    <mergeCell ref="B211:M211"/>
    <mergeCell ref="C212:D212"/>
    <mergeCell ref="E212:F212"/>
    <mergeCell ref="G212:H212"/>
    <mergeCell ref="I212:J212"/>
    <mergeCell ref="K212:M212"/>
    <mergeCell ref="C214:D214"/>
    <mergeCell ref="E214:F214"/>
    <mergeCell ref="G214:H214"/>
    <mergeCell ref="I214:J214"/>
    <mergeCell ref="K214:M214"/>
    <mergeCell ref="F217:G217"/>
    <mergeCell ref="C219:D219"/>
    <mergeCell ref="E219:F219"/>
    <mergeCell ref="G219:M219"/>
    <mergeCell ref="C221:D221"/>
    <mergeCell ref="E225:F225"/>
    <mergeCell ref="C227:D227"/>
    <mergeCell ref="E227:F227"/>
    <mergeCell ref="C229:D229"/>
    <mergeCell ref="E229:F229"/>
    <mergeCell ref="G250:H250"/>
    <mergeCell ref="I250:J250"/>
    <mergeCell ref="K250:M250"/>
    <mergeCell ref="B249:M249"/>
    <mergeCell ref="C251:D251"/>
    <mergeCell ref="E251:F251"/>
    <mergeCell ref="G251:H251"/>
    <mergeCell ref="I251:J251"/>
    <mergeCell ref="K251:M251"/>
    <mergeCell ref="B207:M207"/>
    <mergeCell ref="C208:D208"/>
    <mergeCell ref="E208:F208"/>
    <mergeCell ref="G208:H208"/>
    <mergeCell ref="I208:J208"/>
    <mergeCell ref="K208:M208"/>
    <mergeCell ref="C209:D209"/>
    <mergeCell ref="E209:F209"/>
    <mergeCell ref="G209:H209"/>
    <mergeCell ref="I209:J209"/>
    <mergeCell ref="K209:M209"/>
    <mergeCell ref="F287:G287"/>
    <mergeCell ref="C289:D289"/>
    <mergeCell ref="E289:F289"/>
    <mergeCell ref="G289:M289"/>
    <mergeCell ref="C291:D291"/>
    <mergeCell ref="E291:F291"/>
    <mergeCell ref="C231:D231"/>
    <mergeCell ref="E231:F231"/>
    <mergeCell ref="C233:D233"/>
    <mergeCell ref="E233:F233"/>
    <mergeCell ref="C235:D235"/>
    <mergeCell ref="E235:F235"/>
    <mergeCell ref="C237:D237"/>
    <mergeCell ref="E237:F237"/>
    <mergeCell ref="C239:D239"/>
    <mergeCell ref="E239:F239"/>
    <mergeCell ref="E221:F221"/>
    <mergeCell ref="C223:D223"/>
    <mergeCell ref="E223:F223"/>
    <mergeCell ref="C216:H216"/>
    <mergeCell ref="C225:D225"/>
    <mergeCell ref="C199:D199"/>
    <mergeCell ref="E199:F199"/>
    <mergeCell ref="C201:D201"/>
    <mergeCell ref="E201:F201"/>
    <mergeCell ref="C203:D203"/>
    <mergeCell ref="E203:F203"/>
    <mergeCell ref="B183:M183"/>
    <mergeCell ref="C184:D184"/>
    <mergeCell ref="E184:F184"/>
    <mergeCell ref="G184:H184"/>
    <mergeCell ref="I184:J184"/>
    <mergeCell ref="K184:M184"/>
    <mergeCell ref="C171:D171"/>
    <mergeCell ref="C173:D173"/>
    <mergeCell ref="C175:D175"/>
    <mergeCell ref="C177:D177"/>
    <mergeCell ref="B179:M179"/>
    <mergeCell ref="E177:F177"/>
    <mergeCell ref="C180:D180"/>
    <mergeCell ref="E180:F180"/>
    <mergeCell ref="G180:H180"/>
    <mergeCell ref="I180:J180"/>
    <mergeCell ref="K180:M180"/>
    <mergeCell ref="C181:D181"/>
    <mergeCell ref="E181:F181"/>
    <mergeCell ref="G181:H181"/>
    <mergeCell ref="I181:J181"/>
    <mergeCell ref="K181:M181"/>
    <mergeCell ref="E171:F171"/>
    <mergeCell ref="E173:F173"/>
    <mergeCell ref="E175:F175"/>
    <mergeCell ref="C195:D195"/>
    <mergeCell ref="C170:D170"/>
    <mergeCell ref="E157:F157"/>
    <mergeCell ref="E159:F159"/>
    <mergeCell ref="E161:F161"/>
    <mergeCell ref="E162:F162"/>
    <mergeCell ref="E163:F163"/>
    <mergeCell ref="E165:F165"/>
    <mergeCell ref="E167:F167"/>
    <mergeCell ref="E169:F169"/>
    <mergeCell ref="E170:F170"/>
    <mergeCell ref="C169:D169"/>
    <mergeCell ref="C154:I154"/>
    <mergeCell ref="F155:G155"/>
    <mergeCell ref="C159:D159"/>
    <mergeCell ref="C161:D161"/>
    <mergeCell ref="C163:D163"/>
    <mergeCell ref="C165:D165"/>
    <mergeCell ref="C167:D167"/>
    <mergeCell ref="C157:D157"/>
    <mergeCell ref="C162:D162"/>
    <mergeCell ref="G157:M157"/>
    <mergeCell ref="E152:F152"/>
    <mergeCell ref="G152:H152"/>
    <mergeCell ref="I152:J152"/>
    <mergeCell ref="B145:M145"/>
    <mergeCell ref="C146:D146"/>
    <mergeCell ref="E146:F146"/>
    <mergeCell ref="G146:H146"/>
    <mergeCell ref="I146:J146"/>
    <mergeCell ref="K146:M146"/>
    <mergeCell ref="C131:D131"/>
    <mergeCell ref="C133:D133"/>
    <mergeCell ref="C135:D135"/>
    <mergeCell ref="C125:D125"/>
    <mergeCell ref="C127:D127"/>
    <mergeCell ref="C129:D129"/>
    <mergeCell ref="C119:D119"/>
    <mergeCell ref="C121:D121"/>
    <mergeCell ref="C123:D123"/>
    <mergeCell ref="F115:G115"/>
    <mergeCell ref="C117:D117"/>
    <mergeCell ref="E117:K117"/>
    <mergeCell ref="C112:D112"/>
    <mergeCell ref="E112:F112"/>
    <mergeCell ref="G112:H112"/>
    <mergeCell ref="I112:J112"/>
    <mergeCell ref="K112:M112"/>
    <mergeCell ref="B109:M109"/>
    <mergeCell ref="C110:D110"/>
    <mergeCell ref="E110:F110"/>
    <mergeCell ref="G110:H110"/>
    <mergeCell ref="I110:J110"/>
    <mergeCell ref="K110:M110"/>
    <mergeCell ref="K152:M152"/>
    <mergeCell ref="B149:M149"/>
    <mergeCell ref="C150:D150"/>
    <mergeCell ref="E150:F150"/>
    <mergeCell ref="G150:H150"/>
    <mergeCell ref="I150:J150"/>
    <mergeCell ref="K150:M150"/>
    <mergeCell ref="C147:D147"/>
    <mergeCell ref="E147:F147"/>
    <mergeCell ref="G147:H147"/>
    <mergeCell ref="I147:J147"/>
    <mergeCell ref="K147:M147"/>
    <mergeCell ref="C137:D137"/>
    <mergeCell ref="C139:D139"/>
    <mergeCell ref="C141:D141"/>
    <mergeCell ref="C143:D143"/>
    <mergeCell ref="C114:I114"/>
    <mergeCell ref="C152:D152"/>
    <mergeCell ref="C101:F101"/>
    <mergeCell ref="C103:F103"/>
    <mergeCell ref="B105:M105"/>
    <mergeCell ref="C95:F95"/>
    <mergeCell ref="C97:F97"/>
    <mergeCell ref="C99:F99"/>
    <mergeCell ref="C89:F89"/>
    <mergeCell ref="C91:F91"/>
    <mergeCell ref="C93:F93"/>
    <mergeCell ref="C107:D107"/>
    <mergeCell ref="E107:F107"/>
    <mergeCell ref="G107:H107"/>
    <mergeCell ref="I107:J107"/>
    <mergeCell ref="K107:M107"/>
    <mergeCell ref="C106:D106"/>
    <mergeCell ref="E106:F106"/>
    <mergeCell ref="G106:H106"/>
    <mergeCell ref="I106:J106"/>
    <mergeCell ref="K106:M106"/>
    <mergeCell ref="C84:G84"/>
    <mergeCell ref="F85:G85"/>
    <mergeCell ref="G87:M87"/>
    <mergeCell ref="C87:F87"/>
    <mergeCell ref="C82:D82"/>
    <mergeCell ref="E82:F82"/>
    <mergeCell ref="G82:H82"/>
    <mergeCell ref="I82:J82"/>
    <mergeCell ref="K82:M82"/>
    <mergeCell ref="B79:M79"/>
    <mergeCell ref="C80:D80"/>
    <mergeCell ref="E80:F80"/>
    <mergeCell ref="G80:H80"/>
    <mergeCell ref="I80:J80"/>
    <mergeCell ref="K80:M80"/>
    <mergeCell ref="C77:D77"/>
    <mergeCell ref="E77:F77"/>
    <mergeCell ref="G77:H77"/>
    <mergeCell ref="I77:J77"/>
    <mergeCell ref="K77:M77"/>
    <mergeCell ref="C56:D56"/>
    <mergeCell ref="E56:F56"/>
    <mergeCell ref="C58:D58"/>
    <mergeCell ref="E58:F58"/>
    <mergeCell ref="C60:D60"/>
    <mergeCell ref="E60:F60"/>
    <mergeCell ref="C50:D50"/>
    <mergeCell ref="E50:F50"/>
    <mergeCell ref="C52:D52"/>
    <mergeCell ref="E52:F52"/>
    <mergeCell ref="C54:D54"/>
    <mergeCell ref="E54:F54"/>
    <mergeCell ref="G76:H76"/>
    <mergeCell ref="I76:J76"/>
    <mergeCell ref="K76:M76"/>
    <mergeCell ref="C62:D62"/>
    <mergeCell ref="E62:F62"/>
    <mergeCell ref="C64:D64"/>
    <mergeCell ref="E64:F64"/>
    <mergeCell ref="C66:D66"/>
    <mergeCell ref="E66:F66"/>
    <mergeCell ref="B75:M75"/>
    <mergeCell ref="C76:D76"/>
    <mergeCell ref="E76:F76"/>
    <mergeCell ref="C68:D68"/>
    <mergeCell ref="E68:F68"/>
    <mergeCell ref="C29:D29"/>
    <mergeCell ref="E29:F29"/>
    <mergeCell ref="G29:H29"/>
    <mergeCell ref="I29:J29"/>
    <mergeCell ref="K29:M29"/>
    <mergeCell ref="K32:M32"/>
    <mergeCell ref="I32:J32"/>
    <mergeCell ref="G32:H32"/>
    <mergeCell ref="E32:F32"/>
    <mergeCell ref="C32:D32"/>
    <mergeCell ref="B36:M36"/>
    <mergeCell ref="C37:D37"/>
    <mergeCell ref="E37:F37"/>
    <mergeCell ref="G37:H37"/>
    <mergeCell ref="I37:J37"/>
    <mergeCell ref="K37:M37"/>
    <mergeCell ref="K33:M33"/>
    <mergeCell ref="I33:J33"/>
    <mergeCell ref="G33:H33"/>
    <mergeCell ref="E33:F33"/>
    <mergeCell ref="C6:D6"/>
    <mergeCell ref="E6:F6"/>
    <mergeCell ref="C1:G1"/>
    <mergeCell ref="F2:G2"/>
    <mergeCell ref="C4:D4"/>
    <mergeCell ref="E4:F4"/>
    <mergeCell ref="G4:M4"/>
    <mergeCell ref="C8:D8"/>
    <mergeCell ref="E8:F8"/>
    <mergeCell ref="C3:D3"/>
    <mergeCell ref="E3:F3"/>
    <mergeCell ref="E20:F20"/>
    <mergeCell ref="C22:D22"/>
    <mergeCell ref="E22:F22"/>
    <mergeCell ref="C14:D14"/>
    <mergeCell ref="E14:F14"/>
    <mergeCell ref="C16:D16"/>
    <mergeCell ref="E16:F16"/>
    <mergeCell ref="C18:D18"/>
    <mergeCell ref="E18:F18"/>
    <mergeCell ref="C20:D20"/>
    <mergeCell ref="E241:F241"/>
    <mergeCell ref="C243:D243"/>
    <mergeCell ref="E243:F243"/>
    <mergeCell ref="C245:D245"/>
    <mergeCell ref="E245:F245"/>
    <mergeCell ref="C247:D247"/>
    <mergeCell ref="E247:F247"/>
    <mergeCell ref="C250:D250"/>
    <mergeCell ref="E250:F250"/>
    <mergeCell ref="K254:M254"/>
    <mergeCell ref="C255:D255"/>
    <mergeCell ref="E255:F255"/>
    <mergeCell ref="G255:H255"/>
    <mergeCell ref="I255:J255"/>
    <mergeCell ref="K255:M255"/>
    <mergeCell ref="B253:M253"/>
    <mergeCell ref="C10:D10"/>
    <mergeCell ref="E10:F10"/>
    <mergeCell ref="C12:D12"/>
    <mergeCell ref="E12:F12"/>
    <mergeCell ref="C45:G45"/>
    <mergeCell ref="F46:G46"/>
    <mergeCell ref="C48:D48"/>
    <mergeCell ref="E48:F48"/>
    <mergeCell ref="G48:M48"/>
    <mergeCell ref="B31:M31"/>
    <mergeCell ref="B27:M27"/>
    <mergeCell ref="C28:D28"/>
    <mergeCell ref="E28:F28"/>
    <mergeCell ref="G28:H28"/>
    <mergeCell ref="I28:J28"/>
    <mergeCell ref="K28:M28"/>
    <mergeCell ref="C269:D269"/>
    <mergeCell ref="C256:D256"/>
    <mergeCell ref="E256:F256"/>
    <mergeCell ref="G256:H256"/>
    <mergeCell ref="I256:J256"/>
    <mergeCell ref="K256:M256"/>
    <mergeCell ref="F259:G259"/>
    <mergeCell ref="C261:D261"/>
    <mergeCell ref="C258:K258"/>
    <mergeCell ref="C81:D81"/>
    <mergeCell ref="E81:F81"/>
    <mergeCell ref="G81:H81"/>
    <mergeCell ref="I81:J81"/>
    <mergeCell ref="K81:M81"/>
    <mergeCell ref="C284:D284"/>
    <mergeCell ref="E284:F284"/>
    <mergeCell ref="G284:H284"/>
    <mergeCell ref="I284:J284"/>
    <mergeCell ref="K284:M284"/>
    <mergeCell ref="E261:M261"/>
    <mergeCell ref="G278:H278"/>
    <mergeCell ref="I278:J278"/>
    <mergeCell ref="K278:M278"/>
    <mergeCell ref="C279:D279"/>
    <mergeCell ref="E279:F279"/>
    <mergeCell ref="G279:H279"/>
    <mergeCell ref="I279:J279"/>
    <mergeCell ref="K279:M279"/>
    <mergeCell ref="C282:D282"/>
    <mergeCell ref="E282:F282"/>
    <mergeCell ref="G282:H282"/>
    <mergeCell ref="C241:D241"/>
    <mergeCell ref="K282:M282"/>
    <mergeCell ref="C278:D278"/>
    <mergeCell ref="E278:F278"/>
    <mergeCell ref="C263:D263"/>
    <mergeCell ref="C265:D265"/>
    <mergeCell ref="C254:D254"/>
    <mergeCell ref="E254:F254"/>
    <mergeCell ref="G254:H254"/>
    <mergeCell ref="I254:J254"/>
    <mergeCell ref="C213:D213"/>
    <mergeCell ref="E213:F213"/>
    <mergeCell ref="G213:H213"/>
    <mergeCell ref="I213:J213"/>
    <mergeCell ref="K213:M213"/>
    <mergeCell ref="C185:D185"/>
    <mergeCell ref="E185:F185"/>
    <mergeCell ref="G185:H185"/>
    <mergeCell ref="I185:J185"/>
    <mergeCell ref="K185:M185"/>
    <mergeCell ref="C186:D186"/>
    <mergeCell ref="E186:F186"/>
    <mergeCell ref="G186:H186"/>
    <mergeCell ref="I186:J186"/>
    <mergeCell ref="K186:M186"/>
    <mergeCell ref="C188:I188"/>
    <mergeCell ref="F189:G189"/>
    <mergeCell ref="C191:D191"/>
    <mergeCell ref="E191:F191"/>
    <mergeCell ref="G191:M191"/>
    <mergeCell ref="C193:D193"/>
    <mergeCell ref="E193:F193"/>
    <mergeCell ref="C267:D267"/>
    <mergeCell ref="C671:D671"/>
    <mergeCell ref="C673:D673"/>
    <mergeCell ref="C675:D675"/>
    <mergeCell ref="C677:D677"/>
    <mergeCell ref="C679:D679"/>
    <mergeCell ref="C681:D681"/>
    <mergeCell ref="C683:D683"/>
    <mergeCell ref="C685:D685"/>
    <mergeCell ref="C687:D687"/>
    <mergeCell ref="C695:D695"/>
    <mergeCell ref="E695:F695"/>
    <mergeCell ref="G695:H695"/>
    <mergeCell ref="I695:J695"/>
    <mergeCell ref="K695:M695"/>
    <mergeCell ref="E195:F195"/>
    <mergeCell ref="C204:D204"/>
    <mergeCell ref="E204:F204"/>
    <mergeCell ref="C205:D205"/>
    <mergeCell ref="E205:F205"/>
    <mergeCell ref="C196:D196"/>
    <mergeCell ref="E196:F196"/>
    <mergeCell ref="C197:D197"/>
    <mergeCell ref="E197:F197"/>
    <mergeCell ref="C660:H660"/>
    <mergeCell ref="F661:G661"/>
    <mergeCell ref="C663:D663"/>
    <mergeCell ref="E663:K663"/>
    <mergeCell ref="C665:D665"/>
    <mergeCell ref="C667:D667"/>
    <mergeCell ref="C669:D669"/>
    <mergeCell ref="B689:M689"/>
    <mergeCell ref="I282:J282"/>
    <mergeCell ref="C696:D696"/>
    <mergeCell ref="E696:F696"/>
    <mergeCell ref="G696:H696"/>
    <mergeCell ref="I696:J696"/>
    <mergeCell ref="K696:M696"/>
    <mergeCell ref="C691:D691"/>
    <mergeCell ref="E691:F691"/>
    <mergeCell ref="G691:H691"/>
    <mergeCell ref="I691:J691"/>
    <mergeCell ref="K691:M691"/>
    <mergeCell ref="B693:M693"/>
    <mergeCell ref="C694:D694"/>
    <mergeCell ref="E694:F694"/>
    <mergeCell ref="G694:H694"/>
    <mergeCell ref="I694:J694"/>
    <mergeCell ref="K694:M694"/>
    <mergeCell ref="C690:D690"/>
    <mergeCell ref="E690:F690"/>
    <mergeCell ref="G690:H690"/>
    <mergeCell ref="I690:J690"/>
    <mergeCell ref="K690:M690"/>
  </mergeCells>
  <pageMargins left="0.25" right="0.25" top="0.25" bottom="0.25" header="0.3" footer="0.3"/>
  <pageSetup scale="8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3CF1-36EB-45DD-A5D2-AD055BBB9B7A}">
  <sheetPr>
    <pageSetUpPr fitToPage="1"/>
  </sheetPr>
  <dimension ref="B1:Q475"/>
  <sheetViews>
    <sheetView topLeftCell="D451" workbookViewId="0">
      <selection activeCell="N451" sqref="N1:T1048576"/>
    </sheetView>
  </sheetViews>
  <sheetFormatPr defaultRowHeight="15" x14ac:dyDescent="0.25"/>
  <cols>
    <col min="1" max="1" width="5.140625" customWidth="1"/>
    <col min="2" max="2" width="26.28515625" customWidth="1"/>
    <col min="14" max="14" width="0" hidden="1" customWidth="1"/>
    <col min="15" max="15" width="10.140625" hidden="1" customWidth="1"/>
    <col min="16" max="20" width="0" hidden="1" customWidth="1"/>
  </cols>
  <sheetData>
    <row r="1" spans="2:17" ht="23.25" x14ac:dyDescent="0.35">
      <c r="B1" s="29" t="s">
        <v>334</v>
      </c>
      <c r="C1" s="229" t="s">
        <v>267</v>
      </c>
      <c r="D1" s="229"/>
      <c r="E1" s="229"/>
      <c r="F1" s="229"/>
      <c r="G1" s="229"/>
      <c r="H1" s="229"/>
      <c r="I1" s="229"/>
      <c r="J1" s="229"/>
    </row>
    <row r="2" spans="2:17" ht="18.75" x14ac:dyDescent="0.3">
      <c r="B2" s="12" t="s">
        <v>335</v>
      </c>
      <c r="C2" s="195" t="s">
        <v>5780</v>
      </c>
      <c r="D2" s="228" t="s">
        <v>427</v>
      </c>
      <c r="E2" s="228"/>
      <c r="F2" s="1" t="s">
        <v>5781</v>
      </c>
      <c r="L2" s="12" t="s">
        <v>339</v>
      </c>
      <c r="M2" s="6" t="s">
        <v>5782</v>
      </c>
      <c r="O2" s="101" t="s">
        <v>481</v>
      </c>
    </row>
    <row r="4" spans="2:17" x14ac:dyDescent="0.25">
      <c r="B4" s="2" t="s">
        <v>341</v>
      </c>
      <c r="C4" s="216" t="s">
        <v>587</v>
      </c>
      <c r="D4" s="216"/>
      <c r="E4" s="216" t="s">
        <v>588</v>
      </c>
      <c r="F4" s="216"/>
      <c r="G4" s="216" t="s">
        <v>589</v>
      </c>
      <c r="H4" s="216"/>
      <c r="I4" s="228" t="s">
        <v>345</v>
      </c>
      <c r="J4" s="228"/>
      <c r="K4" s="228"/>
      <c r="L4" s="228"/>
      <c r="M4" s="228"/>
      <c r="O4" s="101" t="s">
        <v>650</v>
      </c>
      <c r="Q4" s="101" t="s">
        <v>651</v>
      </c>
    </row>
    <row r="5" spans="2:17" x14ac:dyDescent="0.25">
      <c r="C5" s="216" t="s">
        <v>592</v>
      </c>
      <c r="D5" s="216"/>
      <c r="E5" s="216" t="s">
        <v>593</v>
      </c>
      <c r="F5" s="216"/>
      <c r="G5" s="216" t="s">
        <v>594</v>
      </c>
      <c r="H5" s="216"/>
      <c r="K5" s="7"/>
      <c r="L5" s="7"/>
      <c r="M5" s="7"/>
    </row>
    <row r="6" spans="2:17" x14ac:dyDescent="0.25">
      <c r="B6" s="11" t="s">
        <v>5783</v>
      </c>
      <c r="C6" s="231" t="s">
        <v>1822</v>
      </c>
      <c r="D6" s="231"/>
      <c r="E6" s="231" t="s">
        <v>382</v>
      </c>
      <c r="F6" s="231"/>
      <c r="G6" s="231" t="s">
        <v>1497</v>
      </c>
      <c r="H6" s="231"/>
      <c r="I6" s="14" t="s">
        <v>5784</v>
      </c>
      <c r="L6" s="7"/>
      <c r="M6" s="7"/>
      <c r="O6" s="102" t="e">
        <f>SUM(14*#REF!)/48</f>
        <v>#REF!</v>
      </c>
      <c r="Q6" s="102" t="e">
        <f>SUM(14*#REF!)/60</f>
        <v>#REF!</v>
      </c>
    </row>
    <row r="7" spans="2:17" x14ac:dyDescent="0.25">
      <c r="B7" s="11"/>
      <c r="C7" s="11"/>
      <c r="D7" s="11"/>
      <c r="E7" s="11"/>
      <c r="F7" s="185"/>
      <c r="G7" s="11"/>
      <c r="H7" s="185"/>
      <c r="I7" s="14" t="s">
        <v>688</v>
      </c>
      <c r="L7" s="7"/>
      <c r="M7" s="7"/>
      <c r="O7" s="102"/>
      <c r="Q7" s="102"/>
    </row>
    <row r="8" spans="2:17" x14ac:dyDescent="0.25">
      <c r="B8" s="1" t="s">
        <v>5140</v>
      </c>
      <c r="C8" s="296" t="s">
        <v>1650</v>
      </c>
      <c r="D8" s="296"/>
      <c r="E8" s="296" t="s">
        <v>437</v>
      </c>
      <c r="F8" s="296"/>
      <c r="G8" s="296" t="s">
        <v>1516</v>
      </c>
      <c r="H8" s="296"/>
      <c r="I8" s="14"/>
      <c r="L8" s="7"/>
      <c r="M8" s="7"/>
      <c r="O8" s="102" t="e">
        <f>SUM(1.5*#REF!)/48</f>
        <v>#REF!</v>
      </c>
      <c r="Q8" s="102" t="e">
        <f>SUM(1.5*#REF!)/60</f>
        <v>#REF!</v>
      </c>
    </row>
    <row r="9" spans="2:17" x14ac:dyDescent="0.25">
      <c r="B9" s="1"/>
      <c r="C9" s="1"/>
      <c r="D9" s="195"/>
      <c r="E9" s="283"/>
      <c r="F9" s="283"/>
      <c r="G9" s="283"/>
      <c r="H9" s="283"/>
      <c r="I9" s="14"/>
      <c r="L9" s="7"/>
      <c r="M9" s="7"/>
      <c r="O9" s="102"/>
      <c r="Q9" s="102"/>
    </row>
    <row r="10" spans="2:17" x14ac:dyDescent="0.25">
      <c r="B10" s="11" t="s">
        <v>1046</v>
      </c>
      <c r="C10" s="230" t="s">
        <v>516</v>
      </c>
      <c r="D10" s="230"/>
      <c r="E10" s="230" t="s">
        <v>513</v>
      </c>
      <c r="F10" s="230"/>
      <c r="G10" s="230" t="s">
        <v>880</v>
      </c>
      <c r="H10" s="230"/>
      <c r="I10" s="14"/>
      <c r="L10" s="7"/>
      <c r="M10" s="7"/>
      <c r="O10" s="102" t="e">
        <f>SUM(1*#REF!)/48</f>
        <v>#REF!</v>
      </c>
      <c r="Q10" s="102" t="e">
        <f>SUM(1*#REF!)/60</f>
        <v>#REF!</v>
      </c>
    </row>
    <row r="11" spans="2:17" x14ac:dyDescent="0.25">
      <c r="B11" s="11"/>
      <c r="C11" s="185"/>
      <c r="D11" s="185"/>
      <c r="E11" s="185"/>
      <c r="F11" s="185"/>
      <c r="G11" s="185"/>
      <c r="H11" s="185"/>
      <c r="I11" s="14"/>
      <c r="L11" s="7"/>
      <c r="M11" s="7"/>
      <c r="O11" s="98"/>
      <c r="Q11" s="98"/>
    </row>
    <row r="12" spans="2:17" x14ac:dyDescent="0.25">
      <c r="B12" s="32" t="s">
        <v>5785</v>
      </c>
      <c r="C12" s="288" t="s">
        <v>5786</v>
      </c>
      <c r="D12" s="288"/>
      <c r="E12" s="288" t="s">
        <v>5787</v>
      </c>
      <c r="F12" s="288"/>
      <c r="G12" s="288" t="s">
        <v>5788</v>
      </c>
      <c r="H12" s="288"/>
      <c r="I12" s="14"/>
      <c r="L12" s="7"/>
      <c r="M12" s="7"/>
      <c r="O12" s="98" t="e">
        <f>SUM(0.167*#REF!)/48</f>
        <v>#REF!</v>
      </c>
      <c r="Q12" s="98" t="e">
        <f>SUM(0.167*#REF!)/60</f>
        <v>#REF!</v>
      </c>
    </row>
    <row r="13" spans="2:17" x14ac:dyDescent="0.25">
      <c r="B13" s="32"/>
      <c r="C13" s="198"/>
      <c r="D13" s="198"/>
      <c r="E13" s="198"/>
      <c r="F13" s="198"/>
      <c r="G13" s="198"/>
      <c r="H13" s="198"/>
      <c r="I13" s="14"/>
      <c r="L13" s="7"/>
      <c r="M13" s="7"/>
      <c r="O13" s="98"/>
      <c r="Q13" s="98"/>
    </row>
    <row r="14" spans="2:17" x14ac:dyDescent="0.25">
      <c r="B14" s="11" t="s">
        <v>397</v>
      </c>
      <c r="C14" s="230" t="s">
        <v>5789</v>
      </c>
      <c r="D14" s="230"/>
      <c r="E14" s="230" t="s">
        <v>5790</v>
      </c>
      <c r="F14" s="230"/>
      <c r="G14" s="230" t="s">
        <v>5791</v>
      </c>
      <c r="H14" s="230"/>
      <c r="I14" s="14"/>
      <c r="L14" s="7"/>
      <c r="M14" s="7"/>
      <c r="O14" s="98">
        <v>0</v>
      </c>
      <c r="Q14" s="98">
        <v>0</v>
      </c>
    </row>
    <row r="15" spans="2:17" x14ac:dyDescent="0.25">
      <c r="B15" s="11"/>
      <c r="C15" s="185"/>
      <c r="D15" s="185"/>
      <c r="E15" s="185"/>
      <c r="F15" s="185"/>
      <c r="G15" s="185"/>
      <c r="H15" s="185"/>
      <c r="I15" s="14"/>
      <c r="J15" s="14"/>
      <c r="L15" s="7"/>
      <c r="M15" s="7"/>
      <c r="O15" s="98"/>
      <c r="Q15" s="98"/>
    </row>
    <row r="16" spans="2:17" x14ac:dyDescent="0.25">
      <c r="B16" s="32" t="s">
        <v>518</v>
      </c>
      <c r="C16" s="288" t="s">
        <v>513</v>
      </c>
      <c r="D16" s="288"/>
      <c r="E16" s="288" t="s">
        <v>549</v>
      </c>
      <c r="F16" s="288"/>
      <c r="G16" s="288" t="s">
        <v>1204</v>
      </c>
      <c r="H16" s="288"/>
      <c r="I16" s="14"/>
      <c r="J16" s="14"/>
      <c r="L16" s="7"/>
      <c r="M16" s="7"/>
      <c r="O16" s="103" t="e">
        <f>SUM(2*#REF!)/48</f>
        <v>#REF!</v>
      </c>
      <c r="Q16" s="103" t="e">
        <f>SUM(2*#REF!)/60</f>
        <v>#REF!</v>
      </c>
    </row>
    <row r="17" spans="2:17" x14ac:dyDescent="0.25">
      <c r="B17" s="32"/>
      <c r="C17" s="198"/>
      <c r="D17" s="198"/>
      <c r="E17" s="198"/>
      <c r="F17" s="198"/>
      <c r="G17" s="198"/>
      <c r="H17" s="198"/>
      <c r="I17" s="14"/>
      <c r="J17" s="14"/>
      <c r="L17" s="7"/>
      <c r="M17" s="7"/>
      <c r="O17" s="98"/>
      <c r="Q17" s="98"/>
    </row>
    <row r="18" spans="2:17" x14ac:dyDescent="0.25">
      <c r="B18" s="11" t="s">
        <v>2443</v>
      </c>
      <c r="C18" s="230" t="s">
        <v>1127</v>
      </c>
      <c r="D18" s="230"/>
      <c r="E18" s="230" t="s">
        <v>890</v>
      </c>
      <c r="F18" s="230"/>
      <c r="G18" s="230" t="s">
        <v>1026</v>
      </c>
      <c r="H18" s="230"/>
      <c r="I18" s="14"/>
      <c r="J18" s="14"/>
      <c r="L18" s="7"/>
      <c r="M18" s="7"/>
      <c r="O18" s="102" t="e">
        <f>SUM(2.5*#REF!)/48</f>
        <v>#REF!</v>
      </c>
      <c r="Q18" s="102" t="e">
        <f>SUM(2.5*#REF!)/60</f>
        <v>#REF!</v>
      </c>
    </row>
    <row r="19" spans="2:17" x14ac:dyDescent="0.25">
      <c r="B19" s="11"/>
      <c r="C19" s="185"/>
      <c r="D19" s="185"/>
      <c r="E19" s="185"/>
      <c r="F19" s="185"/>
      <c r="G19" s="185"/>
      <c r="H19" s="185"/>
      <c r="I19" s="14"/>
      <c r="J19" s="14"/>
      <c r="L19" s="7"/>
      <c r="M19" s="7"/>
      <c r="O19" s="98"/>
      <c r="Q19" s="98"/>
    </row>
    <row r="20" spans="2:17" x14ac:dyDescent="0.25">
      <c r="B20" s="32" t="s">
        <v>2446</v>
      </c>
      <c r="C20" s="288" t="s">
        <v>513</v>
      </c>
      <c r="D20" s="288"/>
      <c r="E20" s="288" t="s">
        <v>549</v>
      </c>
      <c r="F20" s="288"/>
      <c r="G20" s="288" t="s">
        <v>487</v>
      </c>
      <c r="H20" s="288"/>
      <c r="I20" s="14"/>
      <c r="J20" s="14"/>
      <c r="L20" s="7"/>
      <c r="M20" s="7"/>
      <c r="O20" s="102" t="e">
        <f>SUM(2*#REF!)/48</f>
        <v>#REF!</v>
      </c>
      <c r="Q20" s="102" t="e">
        <f>SUM(2*#REF!)/60</f>
        <v>#REF!</v>
      </c>
    </row>
    <row r="21" spans="2:17" x14ac:dyDescent="0.25">
      <c r="B21" s="32"/>
      <c r="C21" s="198"/>
      <c r="D21" s="198"/>
      <c r="E21" s="198"/>
      <c r="F21" s="198"/>
      <c r="G21" s="198"/>
      <c r="H21" s="198"/>
      <c r="I21" s="14"/>
      <c r="J21" s="14"/>
      <c r="L21" s="7"/>
      <c r="M21" s="7"/>
      <c r="O21" s="98"/>
      <c r="Q21" s="98"/>
    </row>
    <row r="22" spans="2:17" x14ac:dyDescent="0.25">
      <c r="B22" s="11" t="s">
        <v>2449</v>
      </c>
      <c r="C22" s="230" t="s">
        <v>3835</v>
      </c>
      <c r="D22" s="230"/>
      <c r="E22" s="230" t="s">
        <v>1295</v>
      </c>
      <c r="F22" s="230"/>
      <c r="G22" s="230" t="s">
        <v>517</v>
      </c>
      <c r="H22" s="230"/>
      <c r="I22" s="14"/>
      <c r="J22" s="14"/>
      <c r="L22" s="7"/>
      <c r="M22" s="7"/>
      <c r="O22" s="102" t="e">
        <f>SUM(0.5*#REF!)/48</f>
        <v>#REF!</v>
      </c>
      <c r="Q22" s="102" t="e">
        <f>SUM(0.5*#REF!)/60</f>
        <v>#REF!</v>
      </c>
    </row>
    <row r="23" spans="2:17" x14ac:dyDescent="0.25">
      <c r="B23" s="11"/>
      <c r="C23" s="185"/>
      <c r="D23" s="185"/>
      <c r="E23" s="185"/>
      <c r="F23" s="185"/>
      <c r="G23" s="185"/>
      <c r="H23" s="185"/>
      <c r="I23" s="14"/>
      <c r="J23" s="14"/>
      <c r="L23" s="7"/>
      <c r="M23" s="7"/>
      <c r="O23" s="102"/>
      <c r="Q23" s="102"/>
    </row>
    <row r="24" spans="2:17" x14ac:dyDescent="0.25">
      <c r="B24" s="32" t="s">
        <v>2452</v>
      </c>
      <c r="C24" s="288" t="s">
        <v>1645</v>
      </c>
      <c r="D24" s="288"/>
      <c r="E24" s="288" t="s">
        <v>657</v>
      </c>
      <c r="F24" s="288"/>
      <c r="G24" s="288" t="s">
        <v>890</v>
      </c>
      <c r="H24" s="288"/>
      <c r="I24" s="14"/>
      <c r="J24" s="14"/>
      <c r="L24" s="7"/>
      <c r="M24" s="7"/>
      <c r="O24" s="102" t="e">
        <f>SUM(0.75*#REF!)/48</f>
        <v>#REF!</v>
      </c>
      <c r="Q24" s="102" t="e">
        <f>SUM(0.75*#REF!)/60</f>
        <v>#REF!</v>
      </c>
    </row>
    <row r="25" spans="2:17" x14ac:dyDescent="0.25">
      <c r="B25" s="32"/>
      <c r="C25" s="198"/>
      <c r="D25" s="198"/>
      <c r="E25" s="198"/>
      <c r="F25" s="198"/>
      <c r="G25" s="198"/>
      <c r="H25" s="198"/>
      <c r="I25" s="14"/>
      <c r="J25" s="14"/>
      <c r="L25" s="7"/>
      <c r="M25" s="7"/>
      <c r="O25" s="102"/>
      <c r="Q25" s="102"/>
    </row>
    <row r="26" spans="2:17" x14ac:dyDescent="0.25">
      <c r="B26" s="11" t="s">
        <v>5792</v>
      </c>
      <c r="C26" s="230" t="s">
        <v>3835</v>
      </c>
      <c r="D26" s="230"/>
      <c r="E26" s="230" t="s">
        <v>516</v>
      </c>
      <c r="F26" s="230"/>
      <c r="G26" s="230" t="s">
        <v>3028</v>
      </c>
      <c r="H26" s="230"/>
      <c r="I26" s="14"/>
      <c r="J26" s="14"/>
      <c r="L26" s="7"/>
      <c r="M26" s="7"/>
      <c r="O26" s="103" t="e">
        <f>SUM(0.5*#REF!)/48</f>
        <v>#REF!</v>
      </c>
      <c r="Q26" s="103" t="e">
        <f>SUM(0.5*#REF!)/60</f>
        <v>#REF!</v>
      </c>
    </row>
    <row r="27" spans="2:17" x14ac:dyDescent="0.25">
      <c r="B27" s="11"/>
      <c r="C27" s="185"/>
      <c r="D27" s="185"/>
      <c r="E27" s="185"/>
      <c r="F27" s="185"/>
      <c r="G27" s="185"/>
      <c r="H27" s="185"/>
      <c r="I27" s="14"/>
      <c r="J27" s="14"/>
      <c r="L27" s="7"/>
      <c r="M27" s="7"/>
      <c r="O27" s="102"/>
      <c r="Q27" s="102"/>
    </row>
    <row r="28" spans="2:17" x14ac:dyDescent="0.25">
      <c r="B28" s="32" t="s">
        <v>4685</v>
      </c>
      <c r="C28" s="288" t="s">
        <v>2062</v>
      </c>
      <c r="D28" s="288"/>
      <c r="E28" s="288" t="s">
        <v>3835</v>
      </c>
      <c r="F28" s="288"/>
      <c r="G28" s="288" t="s">
        <v>513</v>
      </c>
      <c r="H28" s="288"/>
      <c r="I28" s="14"/>
      <c r="J28" s="14"/>
      <c r="L28" s="7"/>
      <c r="M28" s="7"/>
      <c r="O28" s="103" t="e">
        <f>SUM(0.25*#REF!)/48</f>
        <v>#REF!</v>
      </c>
      <c r="Q28" s="103" t="e">
        <f>SUM(0.25*#REF!)/60</f>
        <v>#REF!</v>
      </c>
    </row>
    <row r="29" spans="2:17" x14ac:dyDescent="0.25">
      <c r="B29" s="32"/>
      <c r="C29" s="198"/>
      <c r="D29" s="198"/>
      <c r="E29" s="198"/>
      <c r="F29" s="198"/>
      <c r="G29" s="198"/>
      <c r="H29" s="198"/>
      <c r="I29" s="14"/>
      <c r="J29" s="14"/>
      <c r="L29" s="7"/>
      <c r="M29" s="7"/>
      <c r="O29" s="102"/>
      <c r="Q29" s="102"/>
    </row>
    <row r="30" spans="2:17" x14ac:dyDescent="0.25">
      <c r="B30" s="11" t="s">
        <v>1051</v>
      </c>
      <c r="C30" s="230" t="s">
        <v>1645</v>
      </c>
      <c r="D30" s="230"/>
      <c r="E30" s="230" t="s">
        <v>657</v>
      </c>
      <c r="F30" s="230"/>
      <c r="G30" s="230" t="s">
        <v>744</v>
      </c>
      <c r="H30" s="230"/>
      <c r="I30" s="14"/>
      <c r="J30" s="14"/>
      <c r="L30" s="7"/>
      <c r="M30" s="7"/>
      <c r="O30" s="102" t="e">
        <f>SUM(0.75*#REF!)/48</f>
        <v>#REF!</v>
      </c>
      <c r="Q30" s="102" t="e">
        <f>SUM(0.75*#REF!)/60</f>
        <v>#REF!</v>
      </c>
    </row>
    <row r="31" spans="2:17" x14ac:dyDescent="0.25">
      <c r="B31" s="11"/>
      <c r="C31" s="185"/>
      <c r="D31" s="185"/>
      <c r="E31" s="185"/>
      <c r="F31" s="185"/>
      <c r="G31" s="185"/>
      <c r="H31" s="185"/>
      <c r="I31" s="14"/>
      <c r="J31" s="14"/>
      <c r="L31" s="7"/>
      <c r="M31" s="7"/>
      <c r="O31" s="98"/>
      <c r="Q31" s="98"/>
    </row>
    <row r="32" spans="2:17" x14ac:dyDescent="0.25">
      <c r="B32" s="32" t="s">
        <v>4953</v>
      </c>
      <c r="C32" s="288" t="s">
        <v>5793</v>
      </c>
      <c r="D32" s="288"/>
      <c r="E32" s="288" t="s">
        <v>678</v>
      </c>
      <c r="F32" s="288"/>
      <c r="G32" s="288" t="s">
        <v>392</v>
      </c>
      <c r="H32" s="288"/>
      <c r="I32" s="14"/>
      <c r="J32" s="14"/>
      <c r="L32" s="7"/>
      <c r="M32" s="7"/>
      <c r="O32" s="105" t="e">
        <f>SUM(0.167*#REF!)/48</f>
        <v>#REF!</v>
      </c>
      <c r="Q32" s="105" t="e">
        <f>SUM(0.167*#REF!)/60</f>
        <v>#REF!</v>
      </c>
    </row>
    <row r="33" spans="2:17" ht="15.75" thickBot="1" x14ac:dyDescent="0.3">
      <c r="B33" s="32"/>
      <c r="C33" s="198"/>
      <c r="D33" s="198"/>
      <c r="E33" s="198"/>
      <c r="F33" s="198"/>
      <c r="G33" s="198"/>
      <c r="H33" s="198"/>
      <c r="I33" s="14"/>
      <c r="J33" s="14"/>
      <c r="L33" s="7"/>
      <c r="M33" s="7"/>
      <c r="O33" s="98"/>
      <c r="Q33" s="98"/>
    </row>
    <row r="34" spans="2:17" x14ac:dyDescent="0.25">
      <c r="B34" s="217" t="s">
        <v>401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9"/>
      <c r="O34" s="100" t="e">
        <f>SUM(O6:O32)</f>
        <v>#REF!</v>
      </c>
      <c r="Q34" s="100" t="e">
        <f>SUM(Q6:Q32)</f>
        <v>#REF!</v>
      </c>
    </row>
    <row r="35" spans="2:17" x14ac:dyDescent="0.25">
      <c r="B35" s="3" t="s">
        <v>402</v>
      </c>
      <c r="C35" s="232" t="s">
        <v>403</v>
      </c>
      <c r="D35" s="232"/>
      <c r="E35" s="233" t="s">
        <v>404</v>
      </c>
      <c r="F35" s="233"/>
      <c r="G35" s="232" t="s">
        <v>405</v>
      </c>
      <c r="H35" s="232"/>
      <c r="I35" s="232" t="s">
        <v>406</v>
      </c>
      <c r="J35" s="232"/>
      <c r="K35" s="234" t="s">
        <v>407</v>
      </c>
      <c r="L35" s="235"/>
      <c r="M35" s="236"/>
      <c r="O35" s="98"/>
    </row>
    <row r="36" spans="2:17" ht="15.75" thickBot="1" x14ac:dyDescent="0.3">
      <c r="B36" s="5"/>
      <c r="C36" s="237"/>
      <c r="D36" s="238"/>
      <c r="E36" s="239">
        <v>0.16700000000000001</v>
      </c>
      <c r="F36" s="238"/>
      <c r="G36" s="240"/>
      <c r="H36" s="240"/>
      <c r="I36" s="241"/>
      <c r="J36" s="241"/>
      <c r="K36" s="242">
        <v>1.2999999999999999E-2</v>
      </c>
      <c r="L36" s="243"/>
      <c r="M36" s="244"/>
      <c r="O36" s="98"/>
    </row>
    <row r="37" spans="2:17" x14ac:dyDescent="0.25">
      <c r="B37" s="1"/>
      <c r="C37" s="1"/>
      <c r="D37" s="1"/>
      <c r="E37" s="1"/>
      <c r="F37" s="1"/>
      <c r="G37" s="1"/>
      <c r="H37" s="1"/>
    </row>
    <row r="38" spans="2:17" x14ac:dyDescent="0.25">
      <c r="B38" s="217" t="s">
        <v>408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</row>
    <row r="39" spans="2:17" x14ac:dyDescent="0.25">
      <c r="B39" s="122" t="s">
        <v>5794</v>
      </c>
      <c r="C39" s="220" t="s">
        <v>5795</v>
      </c>
      <c r="D39" s="220"/>
      <c r="E39" s="221" t="s">
        <v>5796</v>
      </c>
      <c r="F39" s="221"/>
      <c r="G39" s="221" t="s">
        <v>692</v>
      </c>
      <c r="H39" s="221"/>
      <c r="I39" s="220" t="s">
        <v>5797</v>
      </c>
      <c r="J39" s="220"/>
      <c r="K39" s="220" t="s">
        <v>5798</v>
      </c>
      <c r="L39" s="220"/>
      <c r="M39" s="222"/>
    </row>
    <row r="40" spans="2:17" x14ac:dyDescent="0.25">
      <c r="B40" s="123" t="s">
        <v>2819</v>
      </c>
      <c r="C40" s="225" t="s">
        <v>5220</v>
      </c>
      <c r="D40" s="226"/>
      <c r="E40" s="227" t="s">
        <v>5799</v>
      </c>
      <c r="F40" s="227"/>
      <c r="G40" s="223" t="s">
        <v>5800</v>
      </c>
      <c r="H40" s="223"/>
      <c r="I40" s="227" t="s">
        <v>626</v>
      </c>
      <c r="J40" s="227"/>
      <c r="K40" s="223" t="s">
        <v>5801</v>
      </c>
      <c r="L40" s="223"/>
      <c r="M40" s="224"/>
    </row>
    <row r="41" spans="2:17" ht="15.75" customHeight="1" x14ac:dyDescent="0.25">
      <c r="B41" s="123" t="s">
        <v>5802</v>
      </c>
      <c r="C41" s="225" t="s">
        <v>422</v>
      </c>
      <c r="D41" s="226"/>
      <c r="E41" s="227" t="s">
        <v>5803</v>
      </c>
      <c r="F41" s="227"/>
      <c r="G41" s="223" t="s">
        <v>648</v>
      </c>
      <c r="H41" s="223"/>
      <c r="I41" s="223" t="s">
        <v>5804</v>
      </c>
      <c r="J41" s="223"/>
      <c r="K41" s="223" t="s">
        <v>575</v>
      </c>
      <c r="L41" s="223"/>
      <c r="M41" s="224"/>
    </row>
    <row r="43" spans="2:17" ht="23.25" x14ac:dyDescent="0.35">
      <c r="B43" s="29" t="s">
        <v>334</v>
      </c>
      <c r="C43" s="229" t="s">
        <v>248</v>
      </c>
      <c r="D43" s="229"/>
      <c r="E43" s="229"/>
      <c r="F43" s="229"/>
      <c r="G43" s="229"/>
      <c r="H43" s="229"/>
      <c r="I43" s="229"/>
      <c r="J43" s="229"/>
    </row>
    <row r="44" spans="2:17" ht="18.75" x14ac:dyDescent="0.3">
      <c r="B44" s="12" t="s">
        <v>335</v>
      </c>
      <c r="C44" s="195" t="s">
        <v>5780</v>
      </c>
      <c r="D44" s="228" t="s">
        <v>427</v>
      </c>
      <c r="E44" s="228"/>
      <c r="F44" s="1" t="s">
        <v>5805</v>
      </c>
      <c r="L44" s="12" t="s">
        <v>339</v>
      </c>
      <c r="M44" s="6" t="s">
        <v>5806</v>
      </c>
    </row>
    <row r="46" spans="2:17" x14ac:dyDescent="0.25">
      <c r="B46" s="2" t="s">
        <v>341</v>
      </c>
      <c r="C46" s="250" t="s">
        <v>953</v>
      </c>
      <c r="D46" s="250"/>
      <c r="E46" s="250" t="s">
        <v>343</v>
      </c>
      <c r="F46" s="250"/>
      <c r="G46" s="250" t="s">
        <v>954</v>
      </c>
      <c r="H46" s="250"/>
      <c r="I46" s="228" t="s">
        <v>345</v>
      </c>
      <c r="J46" s="228"/>
      <c r="K46" s="228"/>
      <c r="L46" s="228"/>
      <c r="M46" s="228"/>
    </row>
    <row r="47" spans="2:17" x14ac:dyDescent="0.25">
      <c r="C47" s="251"/>
      <c r="D47" s="251"/>
      <c r="K47" s="7"/>
      <c r="L47" s="7"/>
      <c r="M47" s="7"/>
    </row>
    <row r="48" spans="2:17" x14ac:dyDescent="0.25">
      <c r="B48" s="11" t="s">
        <v>677</v>
      </c>
      <c r="C48" s="231" t="s">
        <v>789</v>
      </c>
      <c r="D48" s="231"/>
      <c r="E48" s="231" t="s">
        <v>399</v>
      </c>
      <c r="F48" s="231"/>
      <c r="G48" s="231" t="s">
        <v>1497</v>
      </c>
      <c r="H48" s="231"/>
      <c r="I48" s="14" t="s">
        <v>5807</v>
      </c>
      <c r="L48" s="7"/>
      <c r="M48" s="7"/>
    </row>
    <row r="49" spans="2:13" x14ac:dyDescent="0.25">
      <c r="B49" s="11"/>
      <c r="C49" s="11"/>
      <c r="D49" s="11"/>
      <c r="E49" s="11"/>
      <c r="F49" s="185"/>
      <c r="G49" s="11"/>
      <c r="H49" s="185"/>
      <c r="I49" s="14" t="s">
        <v>5808</v>
      </c>
      <c r="L49" s="7"/>
      <c r="M49" s="7"/>
    </row>
    <row r="50" spans="2:13" x14ac:dyDescent="0.25">
      <c r="B50" s="1" t="s">
        <v>393</v>
      </c>
      <c r="C50" s="296" t="s">
        <v>789</v>
      </c>
      <c r="D50" s="296"/>
      <c r="E50" s="296" t="s">
        <v>399</v>
      </c>
      <c r="F50" s="296"/>
      <c r="G50" s="296" t="s">
        <v>1497</v>
      </c>
      <c r="H50" s="296"/>
      <c r="I50" s="14" t="s">
        <v>5809</v>
      </c>
      <c r="L50" s="7"/>
      <c r="M50" s="7"/>
    </row>
    <row r="51" spans="2:13" x14ac:dyDescent="0.25">
      <c r="B51" s="1"/>
      <c r="C51" s="1"/>
      <c r="D51" s="195"/>
      <c r="E51" s="283"/>
      <c r="F51" s="283"/>
      <c r="G51" s="283"/>
      <c r="H51" s="283"/>
      <c r="I51" s="14" t="s">
        <v>5810</v>
      </c>
      <c r="L51" s="7"/>
      <c r="M51" s="7"/>
    </row>
    <row r="52" spans="2:13" x14ac:dyDescent="0.25">
      <c r="B52" s="11" t="s">
        <v>5078</v>
      </c>
      <c r="C52" s="252" t="s">
        <v>5811</v>
      </c>
      <c r="D52" s="252"/>
      <c r="E52" s="252" t="s">
        <v>5812</v>
      </c>
      <c r="F52" s="252"/>
      <c r="G52" s="230" t="s">
        <v>5813</v>
      </c>
      <c r="H52" s="230"/>
      <c r="I52" s="14" t="s">
        <v>5814</v>
      </c>
      <c r="L52" s="7"/>
      <c r="M52" s="7"/>
    </row>
    <row r="53" spans="2:13" x14ac:dyDescent="0.25">
      <c r="B53" s="11"/>
      <c r="C53" s="185"/>
      <c r="D53" s="185"/>
      <c r="E53" s="185"/>
      <c r="F53" s="185"/>
      <c r="G53" s="185"/>
      <c r="H53" s="185"/>
      <c r="I53" s="14" t="s">
        <v>5815</v>
      </c>
      <c r="L53" s="7"/>
      <c r="M53" s="7"/>
    </row>
    <row r="54" spans="2:13" x14ac:dyDescent="0.25">
      <c r="B54" s="32" t="s">
        <v>397</v>
      </c>
      <c r="C54" s="288" t="s">
        <v>1037</v>
      </c>
      <c r="D54" s="288"/>
      <c r="E54" s="288" t="s">
        <v>1275</v>
      </c>
      <c r="F54" s="288"/>
      <c r="G54" s="288" t="s">
        <v>5079</v>
      </c>
      <c r="H54" s="288"/>
      <c r="I54" s="14" t="s">
        <v>3130</v>
      </c>
      <c r="L54" s="7"/>
      <c r="M54" s="7"/>
    </row>
    <row r="55" spans="2:13" x14ac:dyDescent="0.25">
      <c r="B55" s="32"/>
      <c r="C55" s="198"/>
      <c r="D55" s="198"/>
      <c r="E55" s="198"/>
      <c r="F55" s="198"/>
      <c r="G55" s="198"/>
      <c r="H55" s="198"/>
      <c r="I55" s="14" t="s">
        <v>5816</v>
      </c>
      <c r="L55" s="7"/>
      <c r="M55" s="7"/>
    </row>
    <row r="56" spans="2:13" x14ac:dyDescent="0.25">
      <c r="B56" s="11" t="s">
        <v>518</v>
      </c>
      <c r="C56" s="230" t="s">
        <v>881</v>
      </c>
      <c r="D56" s="230"/>
      <c r="E56" s="230" t="s">
        <v>1197</v>
      </c>
      <c r="F56" s="230"/>
      <c r="G56" s="230" t="s">
        <v>1200</v>
      </c>
      <c r="H56" s="230"/>
      <c r="I56" s="14" t="s">
        <v>5817</v>
      </c>
      <c r="L56" s="7"/>
      <c r="M56" s="7"/>
    </row>
    <row r="57" spans="2:13" x14ac:dyDescent="0.25">
      <c r="B57" s="11"/>
      <c r="C57" s="185"/>
      <c r="D57" s="185"/>
      <c r="E57" s="185"/>
      <c r="F57" s="185"/>
      <c r="G57" s="185"/>
      <c r="H57" s="185"/>
      <c r="I57" s="14" t="s">
        <v>5818</v>
      </c>
      <c r="J57" s="14"/>
      <c r="L57" s="7"/>
      <c r="M57" s="7"/>
    </row>
    <row r="58" spans="2:13" x14ac:dyDescent="0.25">
      <c r="B58" s="32" t="s">
        <v>454</v>
      </c>
      <c r="C58" s="288" t="s">
        <v>517</v>
      </c>
      <c r="D58" s="288"/>
      <c r="E58" s="288" t="s">
        <v>4589</v>
      </c>
      <c r="F58" s="288"/>
      <c r="G58" s="288" t="s">
        <v>514</v>
      </c>
      <c r="H58" s="288"/>
      <c r="I58" s="14" t="s">
        <v>5819</v>
      </c>
      <c r="J58" s="14"/>
      <c r="L58" s="7"/>
      <c r="M58" s="7"/>
    </row>
    <row r="59" spans="2:13" x14ac:dyDescent="0.25">
      <c r="B59" s="32"/>
      <c r="C59" s="198"/>
      <c r="D59" s="198"/>
      <c r="E59" s="198"/>
      <c r="F59" s="198"/>
      <c r="G59" s="198"/>
      <c r="H59" s="198"/>
      <c r="I59" s="14"/>
      <c r="J59" s="14"/>
      <c r="L59" s="7"/>
      <c r="M59" s="7"/>
    </row>
    <row r="60" spans="2:13" x14ac:dyDescent="0.25">
      <c r="B60" s="11" t="s">
        <v>2903</v>
      </c>
      <c r="C60" s="230" t="s">
        <v>487</v>
      </c>
      <c r="D60" s="230"/>
      <c r="E60" s="230" t="s">
        <v>1100</v>
      </c>
      <c r="F60" s="230"/>
      <c r="G60" s="230" t="s">
        <v>972</v>
      </c>
      <c r="H60" s="230"/>
      <c r="I60" s="14"/>
      <c r="J60" s="14"/>
      <c r="L60" s="7"/>
      <c r="M60" s="7"/>
    </row>
    <row r="61" spans="2:13" x14ac:dyDescent="0.25">
      <c r="B61" s="11"/>
      <c r="C61" s="185"/>
      <c r="D61" s="185"/>
      <c r="E61" s="185"/>
      <c r="F61" s="185"/>
      <c r="G61" s="185"/>
      <c r="H61" s="185"/>
      <c r="I61" s="14"/>
      <c r="J61" s="14"/>
      <c r="L61" s="7"/>
      <c r="M61" s="7"/>
    </row>
    <row r="62" spans="2:13" x14ac:dyDescent="0.25">
      <c r="B62" s="32" t="s">
        <v>457</v>
      </c>
      <c r="C62" s="288" t="s">
        <v>881</v>
      </c>
      <c r="D62" s="288"/>
      <c r="E62" s="288" t="s">
        <v>1197</v>
      </c>
      <c r="F62" s="288"/>
      <c r="G62" s="288" t="s">
        <v>1200</v>
      </c>
      <c r="H62" s="288"/>
      <c r="I62" s="14"/>
      <c r="J62" s="14"/>
      <c r="L62" s="7"/>
      <c r="M62" s="7"/>
    </row>
    <row r="63" spans="2:13" x14ac:dyDescent="0.25">
      <c r="B63" s="32"/>
      <c r="C63" s="198"/>
      <c r="D63" s="198"/>
      <c r="E63" s="198"/>
      <c r="F63" s="198"/>
      <c r="G63" s="198"/>
      <c r="H63" s="198"/>
      <c r="I63" s="14"/>
      <c r="J63" s="14"/>
      <c r="L63" s="7"/>
      <c r="M63" s="7"/>
    </row>
    <row r="64" spans="2:13" x14ac:dyDescent="0.25">
      <c r="B64" s="11" t="s">
        <v>1952</v>
      </c>
      <c r="C64" s="230" t="s">
        <v>881</v>
      </c>
      <c r="D64" s="230"/>
      <c r="E64" s="230" t="s">
        <v>1197</v>
      </c>
      <c r="F64" s="230"/>
      <c r="G64" s="230" t="s">
        <v>1200</v>
      </c>
      <c r="H64" s="230"/>
      <c r="I64" s="14"/>
      <c r="J64" s="14"/>
      <c r="L64" s="7"/>
      <c r="M64" s="7"/>
    </row>
    <row r="65" spans="2:13" x14ac:dyDescent="0.25">
      <c r="B65" s="11"/>
      <c r="C65" s="185"/>
      <c r="D65" s="185"/>
      <c r="E65" s="185"/>
      <c r="F65" s="185"/>
      <c r="G65" s="185"/>
      <c r="H65" s="185"/>
      <c r="I65" s="14"/>
      <c r="J65" s="14"/>
      <c r="L65" s="7"/>
      <c r="M65" s="7"/>
    </row>
    <row r="66" spans="2:13" x14ac:dyDescent="0.25">
      <c r="B66" s="32" t="s">
        <v>1224</v>
      </c>
      <c r="C66" s="288" t="s">
        <v>881</v>
      </c>
      <c r="D66" s="288"/>
      <c r="E66" s="288" t="s">
        <v>1197</v>
      </c>
      <c r="F66" s="288"/>
      <c r="G66" s="288" t="s">
        <v>1200</v>
      </c>
      <c r="H66" s="288"/>
      <c r="I66" s="14"/>
      <c r="J66" s="14"/>
      <c r="L66" s="7"/>
      <c r="M66" s="7"/>
    </row>
    <row r="67" spans="2:13" x14ac:dyDescent="0.25">
      <c r="B67" s="32"/>
      <c r="C67" s="198"/>
      <c r="D67" s="198"/>
      <c r="E67" s="198"/>
      <c r="F67" s="198"/>
      <c r="G67" s="198"/>
      <c r="H67" s="198"/>
      <c r="I67" s="14"/>
      <c r="J67" s="14"/>
      <c r="L67" s="7"/>
      <c r="M67" s="7"/>
    </row>
    <row r="68" spans="2:13" x14ac:dyDescent="0.25">
      <c r="B68" s="11" t="s">
        <v>1723</v>
      </c>
      <c r="C68" s="252" t="s">
        <v>5820</v>
      </c>
      <c r="D68" s="252"/>
      <c r="E68" s="230" t="s">
        <v>5821</v>
      </c>
      <c r="F68" s="230"/>
      <c r="G68" s="230" t="s">
        <v>5822</v>
      </c>
      <c r="H68" s="230"/>
      <c r="I68" s="14"/>
      <c r="J68" s="14"/>
      <c r="L68" s="7"/>
      <c r="M68" s="7"/>
    </row>
    <row r="69" spans="2:13" x14ac:dyDescent="0.25">
      <c r="B69" s="11"/>
      <c r="C69" s="185"/>
      <c r="D69" s="185"/>
      <c r="E69" s="185"/>
      <c r="F69" s="185"/>
      <c r="G69" s="185"/>
      <c r="H69" s="185"/>
      <c r="I69" s="14"/>
      <c r="J69" s="14"/>
      <c r="L69" s="7"/>
      <c r="M69" s="7"/>
    </row>
    <row r="70" spans="2:13" x14ac:dyDescent="0.25">
      <c r="B70" s="32" t="s">
        <v>2331</v>
      </c>
      <c r="C70" s="288" t="s">
        <v>1654</v>
      </c>
      <c r="D70" s="288"/>
      <c r="E70" s="288"/>
      <c r="F70" s="288"/>
      <c r="G70" s="288"/>
      <c r="H70" s="288"/>
      <c r="I70" s="14"/>
      <c r="J70" s="14"/>
      <c r="L70" s="7"/>
      <c r="M70" s="7"/>
    </row>
    <row r="71" spans="2:13" x14ac:dyDescent="0.25">
      <c r="B71" s="32"/>
      <c r="C71" s="198"/>
      <c r="D71" s="198"/>
      <c r="E71" s="198"/>
      <c r="F71" s="198"/>
      <c r="G71" s="198"/>
      <c r="H71" s="198"/>
      <c r="I71" s="14"/>
      <c r="J71" s="14"/>
      <c r="L71" s="7"/>
      <c r="M71" s="7"/>
    </row>
    <row r="72" spans="2:13" x14ac:dyDescent="0.25">
      <c r="B72" s="11" t="s">
        <v>5823</v>
      </c>
      <c r="C72" s="35"/>
      <c r="D72" s="35"/>
      <c r="E72" s="35"/>
      <c r="F72" s="35"/>
      <c r="G72" s="230"/>
      <c r="H72" s="230"/>
      <c r="I72" s="14"/>
      <c r="J72" s="14"/>
      <c r="L72" s="7"/>
      <c r="M72" s="7"/>
    </row>
    <row r="73" spans="2:13" ht="15.75" thickBot="1" x14ac:dyDescent="0.3">
      <c r="B73" s="11"/>
      <c r="C73" s="185"/>
      <c r="D73" s="185"/>
      <c r="E73" s="185"/>
      <c r="F73" s="185"/>
      <c r="G73" s="185"/>
      <c r="H73" s="185"/>
      <c r="I73" s="14"/>
      <c r="J73" s="14"/>
      <c r="L73" s="7"/>
      <c r="M73" s="7"/>
    </row>
    <row r="74" spans="2:13" x14ac:dyDescent="0.25">
      <c r="B74" s="217" t="s">
        <v>401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9"/>
    </row>
    <row r="75" spans="2:13" x14ac:dyDescent="0.25">
      <c r="B75" s="3" t="s">
        <v>402</v>
      </c>
      <c r="C75" s="232" t="s">
        <v>403</v>
      </c>
      <c r="D75" s="232"/>
      <c r="E75" s="232" t="s">
        <v>467</v>
      </c>
      <c r="F75" s="232"/>
      <c r="G75" s="232" t="s">
        <v>405</v>
      </c>
      <c r="H75" s="232"/>
      <c r="I75" s="232" t="s">
        <v>406</v>
      </c>
      <c r="J75" s="232"/>
      <c r="K75" s="234" t="s">
        <v>468</v>
      </c>
      <c r="L75" s="235"/>
      <c r="M75" s="236"/>
    </row>
    <row r="76" spans="2:13" ht="15.75" thickBot="1" x14ac:dyDescent="0.3">
      <c r="B76" s="5"/>
      <c r="C76" s="237"/>
      <c r="D76" s="238"/>
      <c r="E76" s="239"/>
      <c r="F76" s="238"/>
      <c r="G76" s="240"/>
      <c r="H76" s="240"/>
      <c r="I76" s="241"/>
      <c r="J76" s="241"/>
      <c r="K76" s="242"/>
      <c r="L76" s="243"/>
      <c r="M76" s="244"/>
    </row>
    <row r="77" spans="2:13" ht="15.75" thickBot="1" x14ac:dyDescent="0.3">
      <c r="B77" s="1"/>
      <c r="C77" s="1"/>
      <c r="D77" s="1"/>
      <c r="E77" s="1"/>
      <c r="F77" s="1"/>
      <c r="G77" s="1"/>
      <c r="H77" s="1"/>
    </row>
    <row r="78" spans="2:13" x14ac:dyDescent="0.25">
      <c r="B78" s="217" t="s">
        <v>408</v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9"/>
    </row>
    <row r="79" spans="2:13" x14ac:dyDescent="0.25">
      <c r="B79" s="3" t="s">
        <v>5824</v>
      </c>
      <c r="C79" s="268" t="s">
        <v>5825</v>
      </c>
      <c r="D79" s="268"/>
      <c r="E79" s="233" t="s">
        <v>5826</v>
      </c>
      <c r="F79" s="233"/>
      <c r="G79" s="233" t="s">
        <v>5827</v>
      </c>
      <c r="H79" s="233"/>
      <c r="I79" s="233" t="s">
        <v>692</v>
      </c>
      <c r="J79" s="233"/>
      <c r="K79" s="232" t="s">
        <v>5828</v>
      </c>
      <c r="L79" s="232"/>
      <c r="M79" s="269"/>
    </row>
    <row r="80" spans="2:13" ht="15.75" thickBot="1" x14ac:dyDescent="0.3">
      <c r="B80" s="5" t="s">
        <v>5829</v>
      </c>
      <c r="C80" s="240" t="s">
        <v>5830</v>
      </c>
      <c r="D80" s="240"/>
      <c r="E80" s="388" t="s">
        <v>5831</v>
      </c>
      <c r="F80" s="388"/>
      <c r="G80" s="388" t="s">
        <v>5832</v>
      </c>
      <c r="H80" s="388"/>
      <c r="I80" s="388" t="s">
        <v>5833</v>
      </c>
      <c r="J80" s="388"/>
      <c r="K80" s="240" t="s">
        <v>5834</v>
      </c>
      <c r="L80" s="240"/>
      <c r="M80" s="267"/>
    </row>
    <row r="82" spans="2:15" ht="23.25" x14ac:dyDescent="0.35">
      <c r="B82" s="29" t="s">
        <v>334</v>
      </c>
      <c r="C82" s="229" t="s">
        <v>233</v>
      </c>
      <c r="D82" s="229"/>
      <c r="E82" s="229"/>
      <c r="F82" s="229"/>
      <c r="G82" s="229"/>
      <c r="H82" s="229"/>
      <c r="I82" s="229"/>
      <c r="J82" s="229"/>
    </row>
    <row r="83" spans="2:15" ht="18.75" x14ac:dyDescent="0.3">
      <c r="B83" s="12" t="s">
        <v>335</v>
      </c>
      <c r="C83" s="195" t="s">
        <v>5835</v>
      </c>
      <c r="D83" s="228" t="s">
        <v>427</v>
      </c>
      <c r="E83" s="228"/>
      <c r="F83" s="1" t="s">
        <v>5836</v>
      </c>
      <c r="L83" s="12" t="s">
        <v>339</v>
      </c>
      <c r="M83" s="6" t="s">
        <v>5837</v>
      </c>
    </row>
    <row r="85" spans="2:15" x14ac:dyDescent="0.25">
      <c r="B85" s="2" t="s">
        <v>341</v>
      </c>
      <c r="C85" s="250" t="s">
        <v>4348</v>
      </c>
      <c r="D85" s="250"/>
      <c r="E85" s="228" t="s">
        <v>345</v>
      </c>
      <c r="F85" s="228"/>
      <c r="G85" s="228"/>
      <c r="H85" s="228"/>
      <c r="I85" s="228"/>
      <c r="O85" s="101" t="s">
        <v>1262</v>
      </c>
    </row>
    <row r="86" spans="2:15" x14ac:dyDescent="0.25">
      <c r="C86" s="251"/>
      <c r="D86" s="251"/>
      <c r="G86" s="7"/>
      <c r="H86" s="7"/>
      <c r="I86" s="7"/>
    </row>
    <row r="87" spans="2:15" x14ac:dyDescent="0.25">
      <c r="B87" s="11" t="s">
        <v>5838</v>
      </c>
      <c r="C87" s="231" t="s">
        <v>2921</v>
      </c>
      <c r="D87" s="231"/>
      <c r="F87" s="14" t="s">
        <v>5839</v>
      </c>
      <c r="H87" s="7"/>
      <c r="I87" s="7"/>
      <c r="O87" s="102">
        <v>3.7437500000000001E-3</v>
      </c>
    </row>
    <row r="88" spans="2:15" x14ac:dyDescent="0.25">
      <c r="B88" s="11"/>
      <c r="C88" s="11"/>
      <c r="D88" s="11"/>
      <c r="F88" s="14" t="s">
        <v>5840</v>
      </c>
      <c r="H88" s="7"/>
      <c r="I88" s="7"/>
      <c r="O88" s="98"/>
    </row>
    <row r="89" spans="2:15" x14ac:dyDescent="0.25">
      <c r="B89" s="1" t="s">
        <v>4698</v>
      </c>
      <c r="C89" s="296" t="s">
        <v>5328</v>
      </c>
      <c r="D89" s="296"/>
      <c r="F89" s="14" t="s">
        <v>5841</v>
      </c>
      <c r="H89" s="7"/>
      <c r="I89" s="7"/>
      <c r="O89" s="102">
        <v>1.121E-3</v>
      </c>
    </row>
    <row r="90" spans="2:15" x14ac:dyDescent="0.25">
      <c r="B90" s="1"/>
      <c r="C90" s="1"/>
      <c r="D90" s="195"/>
      <c r="E90" s="14"/>
      <c r="H90" s="7"/>
      <c r="I90" s="7"/>
      <c r="O90" s="98"/>
    </row>
    <row r="91" spans="2:15" x14ac:dyDescent="0.25">
      <c r="B91" s="11" t="s">
        <v>1122</v>
      </c>
      <c r="C91" s="230" t="s">
        <v>5842</v>
      </c>
      <c r="D91" s="230"/>
      <c r="E91" s="14"/>
      <c r="H91" s="7"/>
      <c r="I91" s="7"/>
      <c r="O91" s="103">
        <v>2.2979000000000001E-4</v>
      </c>
    </row>
    <row r="92" spans="2:15" x14ac:dyDescent="0.25">
      <c r="B92" s="11"/>
      <c r="C92" s="185"/>
      <c r="D92" s="185"/>
      <c r="E92" s="14"/>
      <c r="H92" s="7"/>
      <c r="I92" s="7"/>
      <c r="O92" s="98"/>
    </row>
    <row r="93" spans="2:15" x14ac:dyDescent="0.25">
      <c r="B93" s="32" t="s">
        <v>1713</v>
      </c>
      <c r="C93" s="288" t="s">
        <v>890</v>
      </c>
      <c r="D93" s="288"/>
      <c r="E93" s="14"/>
      <c r="H93" s="7"/>
      <c r="I93" s="7"/>
      <c r="O93" s="104">
        <v>1.8499999999999999E-5</v>
      </c>
    </row>
    <row r="94" spans="2:15" x14ac:dyDescent="0.25">
      <c r="B94" s="32"/>
      <c r="C94" s="198"/>
      <c r="D94" s="198"/>
      <c r="E94" s="14"/>
      <c r="H94" s="7"/>
      <c r="I94" s="7"/>
      <c r="O94" s="98"/>
    </row>
    <row r="95" spans="2:15" x14ac:dyDescent="0.25">
      <c r="B95" s="11" t="s">
        <v>1952</v>
      </c>
      <c r="C95" s="230" t="s">
        <v>487</v>
      </c>
      <c r="D95" s="230"/>
      <c r="E95" s="14"/>
      <c r="H95" s="7"/>
      <c r="I95" s="7"/>
      <c r="O95" s="102">
        <v>8.9999999999999998E-4</v>
      </c>
    </row>
    <row r="96" spans="2:15" x14ac:dyDescent="0.25">
      <c r="B96" s="11"/>
      <c r="C96" s="185"/>
      <c r="D96" s="185"/>
      <c r="E96" s="14"/>
      <c r="F96" s="14"/>
      <c r="H96" s="7"/>
      <c r="I96" s="7"/>
      <c r="O96" s="98"/>
    </row>
    <row r="97" spans="2:15" x14ac:dyDescent="0.25">
      <c r="B97" s="32" t="s">
        <v>1714</v>
      </c>
      <c r="C97" s="288" t="s">
        <v>666</v>
      </c>
      <c r="D97" s="288"/>
      <c r="E97" s="14"/>
      <c r="F97" s="14"/>
      <c r="H97" s="7"/>
      <c r="I97" s="7"/>
      <c r="O97" s="103">
        <v>2.5700000000000001E-4</v>
      </c>
    </row>
    <row r="98" spans="2:15" x14ac:dyDescent="0.25">
      <c r="B98" s="32"/>
      <c r="C98" s="198"/>
      <c r="D98" s="198"/>
      <c r="E98" s="14"/>
      <c r="F98" s="14"/>
      <c r="H98" s="7"/>
      <c r="I98" s="7"/>
      <c r="O98" s="98"/>
    </row>
    <row r="99" spans="2:15" x14ac:dyDescent="0.25">
      <c r="B99" s="11" t="s">
        <v>397</v>
      </c>
      <c r="C99" s="230" t="s">
        <v>1194</v>
      </c>
      <c r="D99" s="230"/>
      <c r="E99" s="14"/>
      <c r="F99" s="14"/>
      <c r="H99" s="7"/>
      <c r="I99" s="7"/>
      <c r="O99" s="98">
        <v>0</v>
      </c>
    </row>
    <row r="100" spans="2:15" x14ac:dyDescent="0.25">
      <c r="B100" s="11"/>
      <c r="C100" s="185"/>
      <c r="D100" s="185"/>
      <c r="E100" s="14"/>
      <c r="F100" s="14"/>
      <c r="H100" s="7"/>
      <c r="I100" s="7"/>
      <c r="O100" s="98"/>
    </row>
    <row r="101" spans="2:15" x14ac:dyDescent="0.25">
      <c r="B101" s="32" t="s">
        <v>1046</v>
      </c>
      <c r="C101" s="288" t="s">
        <v>486</v>
      </c>
      <c r="D101" s="288"/>
      <c r="E101" s="14"/>
      <c r="F101" s="14"/>
      <c r="H101" s="7"/>
      <c r="I101" s="7"/>
      <c r="O101" s="103">
        <v>2.5000000000000001E-4</v>
      </c>
    </row>
    <row r="102" spans="2:15" x14ac:dyDescent="0.25">
      <c r="B102" s="32"/>
      <c r="C102" s="198"/>
      <c r="D102" s="198"/>
      <c r="E102" s="14"/>
      <c r="F102" s="14"/>
      <c r="H102" s="7"/>
      <c r="I102" s="7"/>
      <c r="O102" s="98"/>
    </row>
    <row r="103" spans="2:15" x14ac:dyDescent="0.25">
      <c r="B103" s="11" t="s">
        <v>548</v>
      </c>
      <c r="C103" s="230" t="s">
        <v>486</v>
      </c>
      <c r="D103" s="230"/>
      <c r="E103" s="14"/>
      <c r="F103" s="14"/>
      <c r="H103" s="7"/>
      <c r="I103" s="7"/>
      <c r="O103" s="114">
        <v>1.42E-5</v>
      </c>
    </row>
    <row r="104" spans="2:15" x14ac:dyDescent="0.25">
      <c r="B104" s="11"/>
      <c r="C104" s="185"/>
      <c r="D104" s="185"/>
      <c r="E104" s="14"/>
      <c r="F104" s="14"/>
      <c r="H104" s="7"/>
      <c r="I104" s="7"/>
      <c r="O104" s="98"/>
    </row>
    <row r="105" spans="2:15" x14ac:dyDescent="0.25">
      <c r="B105" s="217" t="s">
        <v>5843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9"/>
      <c r="O105" s="100">
        <f>SUM(O87:O103)</f>
        <v>6.5342400000000002E-3</v>
      </c>
    </row>
    <row r="106" spans="2:15" x14ac:dyDescent="0.25">
      <c r="B106" s="122" t="s">
        <v>5844</v>
      </c>
      <c r="C106" s="220" t="s">
        <v>1727</v>
      </c>
      <c r="D106" s="220"/>
      <c r="E106" s="221" t="s">
        <v>3115</v>
      </c>
      <c r="F106" s="221"/>
      <c r="G106" s="221" t="s">
        <v>5613</v>
      </c>
      <c r="H106" s="221"/>
      <c r="I106" s="220" t="s">
        <v>5845</v>
      </c>
      <c r="J106" s="220"/>
      <c r="K106" s="220" t="s">
        <v>5846</v>
      </c>
      <c r="L106" s="220"/>
      <c r="M106" s="222"/>
    </row>
    <row r="107" spans="2:15" ht="15.75" customHeight="1" x14ac:dyDescent="0.25">
      <c r="B107" s="123" t="s">
        <v>5847</v>
      </c>
      <c r="C107" s="225" t="s">
        <v>5848</v>
      </c>
      <c r="D107" s="226"/>
      <c r="E107" s="223" t="s">
        <v>5849</v>
      </c>
      <c r="F107" s="223"/>
      <c r="G107" s="223" t="s">
        <v>5850</v>
      </c>
      <c r="H107" s="223"/>
      <c r="I107" s="227" t="s">
        <v>4004</v>
      </c>
      <c r="J107" s="227"/>
      <c r="K107" s="223" t="s">
        <v>5851</v>
      </c>
      <c r="L107" s="223"/>
      <c r="M107" s="224"/>
    </row>
    <row r="108" spans="2:15" ht="15.75" customHeight="1" x14ac:dyDescent="0.25">
      <c r="B108" s="123" t="s">
        <v>4379</v>
      </c>
      <c r="C108" s="225" t="s">
        <v>422</v>
      </c>
      <c r="D108" s="226"/>
      <c r="E108" s="227" t="s">
        <v>5852</v>
      </c>
      <c r="F108" s="227"/>
      <c r="G108" s="223" t="s">
        <v>3615</v>
      </c>
      <c r="H108" s="223"/>
      <c r="I108" s="223" t="s">
        <v>5853</v>
      </c>
      <c r="J108" s="223"/>
      <c r="K108" s="223" t="s">
        <v>5854</v>
      </c>
      <c r="L108" s="223"/>
      <c r="M108" s="224"/>
    </row>
    <row r="110" spans="2:15" ht="23.25" x14ac:dyDescent="0.35">
      <c r="B110" s="29" t="s">
        <v>334</v>
      </c>
      <c r="C110" s="229" t="s">
        <v>236</v>
      </c>
      <c r="D110" s="229"/>
      <c r="E110" s="229"/>
      <c r="F110" s="229"/>
      <c r="G110" s="229"/>
      <c r="H110" s="229"/>
      <c r="I110" s="229"/>
      <c r="J110" s="229"/>
    </row>
    <row r="111" spans="2:15" ht="18.75" x14ac:dyDescent="0.3">
      <c r="B111" s="12" t="s">
        <v>335</v>
      </c>
      <c r="C111" s="195" t="s">
        <v>5855</v>
      </c>
      <c r="D111" s="228" t="s">
        <v>427</v>
      </c>
      <c r="E111" s="228"/>
      <c r="F111" s="1" t="s">
        <v>5836</v>
      </c>
      <c r="L111" s="12" t="s">
        <v>339</v>
      </c>
      <c r="M111" s="6" t="s">
        <v>5856</v>
      </c>
    </row>
    <row r="113" spans="2:13" x14ac:dyDescent="0.25">
      <c r="B113" s="2" t="s">
        <v>341</v>
      </c>
      <c r="C113" s="250" t="s">
        <v>342</v>
      </c>
      <c r="D113" s="250"/>
      <c r="E113" s="250" t="s">
        <v>343</v>
      </c>
      <c r="F113" s="250"/>
      <c r="G113" s="250" t="s">
        <v>954</v>
      </c>
      <c r="H113" s="250"/>
      <c r="I113" s="228" t="s">
        <v>345</v>
      </c>
      <c r="J113" s="228"/>
      <c r="K113" s="228"/>
      <c r="L113" s="228"/>
      <c r="M113" s="228"/>
    </row>
    <row r="114" spans="2:13" x14ac:dyDescent="0.25">
      <c r="C114" s="251"/>
      <c r="D114" s="251"/>
      <c r="K114" s="7"/>
      <c r="L114" s="7"/>
      <c r="M114" s="7"/>
    </row>
    <row r="115" spans="2:13" x14ac:dyDescent="0.25">
      <c r="B115" s="11" t="s">
        <v>848</v>
      </c>
      <c r="C115" s="231" t="s">
        <v>5857</v>
      </c>
      <c r="D115" s="231"/>
      <c r="E115" s="231" t="s">
        <v>382</v>
      </c>
      <c r="F115" s="231"/>
      <c r="G115" s="231" t="s">
        <v>789</v>
      </c>
      <c r="H115" s="231"/>
      <c r="I115" s="14" t="s">
        <v>5858</v>
      </c>
      <c r="L115" s="7"/>
      <c r="M115" s="7"/>
    </row>
    <row r="116" spans="2:13" x14ac:dyDescent="0.25">
      <c r="B116" s="11"/>
      <c r="C116" s="11"/>
      <c r="D116" s="11"/>
      <c r="E116" s="11"/>
      <c r="F116" s="185"/>
      <c r="G116" s="11"/>
      <c r="H116" s="185"/>
      <c r="I116" s="14" t="s">
        <v>5859</v>
      </c>
      <c r="L116" s="7"/>
      <c r="M116" s="7"/>
    </row>
    <row r="117" spans="2:13" x14ac:dyDescent="0.25">
      <c r="B117" s="1" t="s">
        <v>652</v>
      </c>
      <c r="C117" s="296" t="s">
        <v>399</v>
      </c>
      <c r="D117" s="296"/>
      <c r="E117" s="296" t="s">
        <v>400</v>
      </c>
      <c r="F117" s="296"/>
      <c r="G117" s="296" t="s">
        <v>1019</v>
      </c>
      <c r="H117" s="296"/>
      <c r="I117" s="14" t="s">
        <v>5860</v>
      </c>
      <c r="L117" s="7"/>
      <c r="M117" s="7"/>
    </row>
    <row r="118" spans="2:13" x14ac:dyDescent="0.25">
      <c r="B118" s="1"/>
      <c r="C118" s="1"/>
      <c r="D118" s="195"/>
      <c r="E118" s="283"/>
      <c r="F118" s="283"/>
      <c r="G118" s="283"/>
      <c r="H118" s="283"/>
      <c r="I118" s="14" t="s">
        <v>5861</v>
      </c>
      <c r="L118" s="7"/>
      <c r="M118" s="7"/>
    </row>
    <row r="119" spans="2:13" x14ac:dyDescent="0.25">
      <c r="B119" s="11" t="s">
        <v>5862</v>
      </c>
      <c r="C119" s="252" t="s">
        <v>1636</v>
      </c>
      <c r="D119" s="252"/>
      <c r="E119" s="252" t="s">
        <v>1319</v>
      </c>
      <c r="F119" s="252"/>
      <c r="G119" s="284" t="s">
        <v>5863</v>
      </c>
      <c r="H119" s="284"/>
      <c r="I119" s="14" t="s">
        <v>5864</v>
      </c>
      <c r="L119" s="7"/>
      <c r="M119" s="7"/>
    </row>
    <row r="120" spans="2:13" x14ac:dyDescent="0.25">
      <c r="B120" s="11" t="s">
        <v>5865</v>
      </c>
      <c r="C120" s="185"/>
      <c r="D120" s="185"/>
      <c r="E120" s="185"/>
      <c r="F120" s="185"/>
      <c r="G120" s="185"/>
      <c r="H120" s="185"/>
      <c r="I120" s="14" t="s">
        <v>5866</v>
      </c>
      <c r="L120" s="7"/>
      <c r="M120" s="7"/>
    </row>
    <row r="121" spans="2:13" x14ac:dyDescent="0.25">
      <c r="B121" s="32" t="s">
        <v>5867</v>
      </c>
      <c r="C121" s="288" t="s">
        <v>1128</v>
      </c>
      <c r="D121" s="288"/>
      <c r="E121" s="288" t="s">
        <v>1717</v>
      </c>
      <c r="F121" s="288"/>
      <c r="G121" s="288" t="s">
        <v>517</v>
      </c>
      <c r="H121" s="288"/>
      <c r="I121" s="14" t="s">
        <v>5868</v>
      </c>
      <c r="L121" s="7"/>
      <c r="M121" s="7"/>
    </row>
    <row r="122" spans="2:13" x14ac:dyDescent="0.25">
      <c r="B122" s="32"/>
      <c r="C122" s="198"/>
      <c r="D122" s="198"/>
      <c r="E122" s="198"/>
      <c r="F122" s="198"/>
      <c r="G122" s="198"/>
      <c r="H122" s="198"/>
      <c r="I122" s="14" t="s">
        <v>5869</v>
      </c>
      <c r="L122" s="7"/>
      <c r="M122" s="7"/>
    </row>
    <row r="123" spans="2:13" x14ac:dyDescent="0.25">
      <c r="B123" s="11" t="s">
        <v>1224</v>
      </c>
      <c r="C123" s="230" t="s">
        <v>744</v>
      </c>
      <c r="D123" s="230"/>
      <c r="E123" s="230" t="s">
        <v>891</v>
      </c>
      <c r="F123" s="230"/>
      <c r="G123" s="230" t="s">
        <v>1630</v>
      </c>
      <c r="H123" s="230"/>
      <c r="I123" s="14" t="s">
        <v>2450</v>
      </c>
      <c r="L123" s="7"/>
      <c r="M123" s="7"/>
    </row>
    <row r="124" spans="2:13" x14ac:dyDescent="0.25">
      <c r="B124" s="11"/>
      <c r="C124" s="185"/>
      <c r="D124" s="185"/>
      <c r="E124" s="185"/>
      <c r="F124" s="185"/>
      <c r="G124" s="185"/>
      <c r="H124" s="185"/>
      <c r="I124" s="14" t="s">
        <v>612</v>
      </c>
      <c r="J124" s="14"/>
      <c r="L124" s="7"/>
      <c r="M124" s="7"/>
    </row>
    <row r="125" spans="2:13" x14ac:dyDescent="0.25">
      <c r="B125" s="32" t="s">
        <v>1046</v>
      </c>
      <c r="C125" s="288" t="s">
        <v>1645</v>
      </c>
      <c r="D125" s="288"/>
      <c r="E125" s="288" t="s">
        <v>3221</v>
      </c>
      <c r="F125" s="288"/>
      <c r="G125" s="288" t="s">
        <v>516</v>
      </c>
      <c r="H125" s="288"/>
      <c r="I125" s="14" t="s">
        <v>5870</v>
      </c>
      <c r="J125" s="14"/>
      <c r="L125" s="7"/>
      <c r="M125" s="7"/>
    </row>
    <row r="126" spans="2:13" x14ac:dyDescent="0.25">
      <c r="B126" s="32"/>
      <c r="C126" s="198"/>
      <c r="D126" s="198"/>
      <c r="E126" s="198"/>
      <c r="F126" s="198"/>
      <c r="G126" s="198"/>
      <c r="H126" s="198"/>
      <c r="I126" s="14" t="s">
        <v>5871</v>
      </c>
      <c r="J126" s="14"/>
      <c r="L126" s="7"/>
      <c r="M126" s="7"/>
    </row>
    <row r="127" spans="2:13" x14ac:dyDescent="0.25">
      <c r="B127" s="11" t="s">
        <v>1470</v>
      </c>
      <c r="C127" s="230" t="s">
        <v>1128</v>
      </c>
      <c r="D127" s="230"/>
      <c r="E127" s="230" t="s">
        <v>1717</v>
      </c>
      <c r="F127" s="230"/>
      <c r="G127" s="230" t="s">
        <v>517</v>
      </c>
      <c r="H127" s="230"/>
      <c r="I127" s="14" t="s">
        <v>5872</v>
      </c>
      <c r="J127" s="14"/>
      <c r="L127" s="7"/>
      <c r="M127" s="7"/>
    </row>
    <row r="128" spans="2:13" x14ac:dyDescent="0.25">
      <c r="B128" s="11"/>
      <c r="C128" s="185"/>
      <c r="D128" s="185"/>
      <c r="E128" s="185"/>
      <c r="F128" s="185"/>
      <c r="G128" s="185"/>
      <c r="H128" s="185"/>
      <c r="I128" s="14" t="s">
        <v>5873</v>
      </c>
      <c r="J128" s="14"/>
      <c r="L128" s="7"/>
      <c r="M128" s="7"/>
    </row>
    <row r="129" spans="2:13" x14ac:dyDescent="0.25">
      <c r="B129" s="32" t="s">
        <v>518</v>
      </c>
      <c r="C129" s="288" t="s">
        <v>1295</v>
      </c>
      <c r="D129" s="288"/>
      <c r="E129" s="288" t="s">
        <v>657</v>
      </c>
      <c r="F129" s="288"/>
      <c r="G129" s="288" t="s">
        <v>1296</v>
      </c>
      <c r="H129" s="288"/>
      <c r="I129" s="14"/>
      <c r="J129" s="14"/>
      <c r="L129" s="7"/>
      <c r="M129" s="7"/>
    </row>
    <row r="130" spans="2:13" ht="15.75" thickBot="1" x14ac:dyDescent="0.3">
      <c r="B130" s="32"/>
      <c r="C130" s="198"/>
      <c r="D130" s="198"/>
      <c r="E130" s="198"/>
      <c r="F130" s="198"/>
      <c r="G130" s="198"/>
      <c r="H130" s="198"/>
      <c r="I130" s="14"/>
      <c r="J130" s="14"/>
      <c r="L130" s="7"/>
      <c r="M130" s="7"/>
    </row>
    <row r="131" spans="2:13" x14ac:dyDescent="0.25">
      <c r="B131" s="217" t="s">
        <v>401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9"/>
    </row>
    <row r="132" spans="2:13" x14ac:dyDescent="0.25">
      <c r="B132" s="3" t="s">
        <v>402</v>
      </c>
      <c r="C132" s="232" t="s">
        <v>403</v>
      </c>
      <c r="D132" s="232"/>
      <c r="E132" s="232" t="s">
        <v>467</v>
      </c>
      <c r="F132" s="232"/>
      <c r="G132" s="232" t="s">
        <v>405</v>
      </c>
      <c r="H132" s="232"/>
      <c r="I132" s="232" t="s">
        <v>406</v>
      </c>
      <c r="J132" s="232"/>
      <c r="K132" s="234" t="s">
        <v>468</v>
      </c>
      <c r="L132" s="235"/>
      <c r="M132" s="236"/>
    </row>
    <row r="133" spans="2:13" ht="15.75" thickBot="1" x14ac:dyDescent="0.3">
      <c r="B133" s="5"/>
      <c r="C133" s="237"/>
      <c r="D133" s="238"/>
      <c r="E133" s="239"/>
      <c r="F133" s="238"/>
      <c r="G133" s="240"/>
      <c r="H133" s="240"/>
      <c r="I133" s="241"/>
      <c r="J133" s="241"/>
      <c r="K133" s="242"/>
      <c r="L133" s="243"/>
      <c r="M133" s="244"/>
    </row>
    <row r="134" spans="2:13" ht="15.75" thickBot="1" x14ac:dyDescent="0.3">
      <c r="B134" s="1"/>
      <c r="C134" s="1"/>
      <c r="D134" s="1"/>
      <c r="E134" s="1"/>
      <c r="F134" s="1"/>
      <c r="G134" s="1"/>
      <c r="H134" s="1"/>
    </row>
    <row r="135" spans="2:13" x14ac:dyDescent="0.25">
      <c r="B135" s="217" t="s">
        <v>408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9"/>
    </row>
    <row r="136" spans="2:13" x14ac:dyDescent="0.25">
      <c r="B136" s="3" t="s">
        <v>5874</v>
      </c>
      <c r="C136" s="268" t="s">
        <v>5875</v>
      </c>
      <c r="D136" s="268"/>
      <c r="E136" s="233" t="s">
        <v>5876</v>
      </c>
      <c r="F136" s="233"/>
      <c r="G136" s="233" t="s">
        <v>2815</v>
      </c>
      <c r="H136" s="233"/>
      <c r="I136" s="233" t="s">
        <v>692</v>
      </c>
      <c r="J136" s="233"/>
      <c r="K136" s="232" t="s">
        <v>5877</v>
      </c>
      <c r="L136" s="232"/>
      <c r="M136" s="269"/>
    </row>
    <row r="137" spans="2:13" ht="15.75" thickBot="1" x14ac:dyDescent="0.3">
      <c r="B137" s="5" t="s">
        <v>415</v>
      </c>
      <c r="C137" s="240" t="s">
        <v>5878</v>
      </c>
      <c r="D137" s="240"/>
      <c r="E137" s="388" t="s">
        <v>567</v>
      </c>
      <c r="F137" s="388"/>
      <c r="G137" s="388" t="s">
        <v>569</v>
      </c>
      <c r="H137" s="388"/>
      <c r="I137" s="388" t="s">
        <v>697</v>
      </c>
      <c r="J137" s="388"/>
      <c r="K137" s="240" t="s">
        <v>2257</v>
      </c>
      <c r="L137" s="240"/>
      <c r="M137" s="267"/>
    </row>
    <row r="139" spans="2:13" ht="23.25" x14ac:dyDescent="0.35">
      <c r="B139" s="29" t="s">
        <v>334</v>
      </c>
      <c r="C139" s="229" t="s">
        <v>239</v>
      </c>
      <c r="D139" s="229"/>
      <c r="E139" s="229"/>
      <c r="F139" s="229"/>
      <c r="G139" s="229"/>
      <c r="H139" s="229"/>
      <c r="I139" s="229"/>
      <c r="J139" s="229"/>
    </row>
    <row r="140" spans="2:13" ht="18.75" x14ac:dyDescent="0.3">
      <c r="B140" s="12" t="s">
        <v>335</v>
      </c>
      <c r="C140" s="195" t="s">
        <v>5835</v>
      </c>
      <c r="D140" s="228" t="s">
        <v>427</v>
      </c>
      <c r="E140" s="228"/>
      <c r="F140" s="1" t="s">
        <v>5836</v>
      </c>
      <c r="L140" s="12" t="s">
        <v>339</v>
      </c>
      <c r="M140" s="6" t="s">
        <v>5879</v>
      </c>
    </row>
    <row r="142" spans="2:13" x14ac:dyDescent="0.25">
      <c r="B142" s="2" t="s">
        <v>341</v>
      </c>
      <c r="C142" s="250" t="s">
        <v>5880</v>
      </c>
      <c r="D142" s="250"/>
      <c r="E142" s="250" t="s">
        <v>5881</v>
      </c>
      <c r="F142" s="250"/>
      <c r="G142" s="228" t="s">
        <v>345</v>
      </c>
      <c r="H142" s="228"/>
      <c r="I142" s="228"/>
      <c r="J142" s="228"/>
      <c r="K142" s="228"/>
    </row>
    <row r="143" spans="2:13" x14ac:dyDescent="0.25">
      <c r="C143" s="251"/>
      <c r="D143" s="251"/>
      <c r="I143" s="7"/>
      <c r="J143" s="7"/>
      <c r="K143" s="7"/>
    </row>
    <row r="144" spans="2:13" x14ac:dyDescent="0.25">
      <c r="B144" s="11" t="s">
        <v>2645</v>
      </c>
      <c r="C144" s="231" t="s">
        <v>392</v>
      </c>
      <c r="D144" s="231"/>
      <c r="E144" s="231" t="s">
        <v>790</v>
      </c>
      <c r="F144" s="231"/>
      <c r="G144" s="14" t="s">
        <v>5882</v>
      </c>
      <c r="J144" s="7"/>
      <c r="K144" s="7"/>
    </row>
    <row r="145" spans="2:13" x14ac:dyDescent="0.25">
      <c r="B145" s="11"/>
      <c r="C145" s="11"/>
      <c r="D145" s="185"/>
      <c r="E145" s="11"/>
      <c r="F145" s="185"/>
      <c r="G145" s="14" t="s">
        <v>5883</v>
      </c>
      <c r="J145" s="7"/>
      <c r="K145" s="7"/>
    </row>
    <row r="146" spans="2:13" x14ac:dyDescent="0.25">
      <c r="B146" s="1" t="s">
        <v>5884</v>
      </c>
      <c r="C146" s="296" t="s">
        <v>383</v>
      </c>
      <c r="D146" s="296"/>
      <c r="E146" s="296" t="s">
        <v>5885</v>
      </c>
      <c r="F146" s="296"/>
      <c r="G146" s="14" t="s">
        <v>5886</v>
      </c>
      <c r="J146" s="7"/>
      <c r="K146" s="7"/>
    </row>
    <row r="147" spans="2:13" x14ac:dyDescent="0.25">
      <c r="B147" s="1"/>
      <c r="C147" s="195"/>
      <c r="D147" s="195"/>
      <c r="E147" s="195"/>
      <c r="F147" s="195"/>
      <c r="G147" s="14" t="s">
        <v>5887</v>
      </c>
      <c r="J147" s="7"/>
      <c r="K147" s="7"/>
    </row>
    <row r="148" spans="2:13" x14ac:dyDescent="0.25">
      <c r="B148" s="11" t="s">
        <v>3817</v>
      </c>
      <c r="C148" s="231" t="s">
        <v>390</v>
      </c>
      <c r="D148" s="231"/>
      <c r="E148" s="231" t="s">
        <v>789</v>
      </c>
      <c r="F148" s="231"/>
      <c r="G148" s="14" t="s">
        <v>5888</v>
      </c>
      <c r="J148" s="7"/>
      <c r="K148" s="7"/>
    </row>
    <row r="149" spans="2:13" x14ac:dyDescent="0.25">
      <c r="B149" s="11" t="s">
        <v>1852</v>
      </c>
      <c r="C149" s="185"/>
      <c r="D149" s="185"/>
      <c r="E149" s="185"/>
      <c r="F149" s="185"/>
      <c r="G149" s="14" t="s">
        <v>1665</v>
      </c>
      <c r="J149" s="7"/>
      <c r="K149" s="7"/>
    </row>
    <row r="150" spans="2:13" x14ac:dyDescent="0.25">
      <c r="B150" s="32" t="s">
        <v>2426</v>
      </c>
      <c r="C150" s="296" t="s">
        <v>744</v>
      </c>
      <c r="D150" s="296"/>
      <c r="E150" s="296" t="s">
        <v>390</v>
      </c>
      <c r="F150" s="296"/>
      <c r="G150" s="14"/>
      <c r="J150" s="7"/>
      <c r="K150" s="7"/>
    </row>
    <row r="151" spans="2:13" x14ac:dyDescent="0.25">
      <c r="B151" s="32"/>
      <c r="C151" s="1"/>
      <c r="D151" s="195"/>
      <c r="E151" s="1"/>
      <c r="F151" s="195"/>
      <c r="J151" s="7"/>
      <c r="K151" s="7"/>
    </row>
    <row r="152" spans="2:13" x14ac:dyDescent="0.25">
      <c r="B152" s="11" t="s">
        <v>889</v>
      </c>
      <c r="C152" s="231" t="s">
        <v>1645</v>
      </c>
      <c r="D152" s="231"/>
      <c r="E152" s="231" t="s">
        <v>486</v>
      </c>
      <c r="F152" s="231"/>
      <c r="J152" s="7"/>
      <c r="K152" s="7"/>
    </row>
    <row r="153" spans="2:13" x14ac:dyDescent="0.25">
      <c r="B153" s="11"/>
      <c r="C153" s="11"/>
      <c r="D153" s="185"/>
      <c r="E153" s="11"/>
      <c r="F153" s="185"/>
      <c r="G153" s="14"/>
      <c r="H153" s="14"/>
      <c r="J153" s="7"/>
      <c r="K153" s="7"/>
    </row>
    <row r="154" spans="2:13" x14ac:dyDescent="0.25">
      <c r="B154" s="32" t="s">
        <v>1224</v>
      </c>
      <c r="C154" s="296" t="s">
        <v>1645</v>
      </c>
      <c r="D154" s="296"/>
      <c r="E154" s="296" t="s">
        <v>486</v>
      </c>
      <c r="F154" s="296"/>
      <c r="G154" s="14"/>
      <c r="H154" s="14"/>
      <c r="J154" s="7"/>
      <c r="K154" s="7"/>
    </row>
    <row r="155" spans="2:13" x14ac:dyDescent="0.25">
      <c r="B155" s="32"/>
      <c r="C155" s="1"/>
      <c r="D155" s="195"/>
      <c r="E155" s="1"/>
      <c r="F155" s="195"/>
      <c r="G155" s="14"/>
      <c r="H155" s="14"/>
      <c r="J155" s="7"/>
      <c r="K155" s="7"/>
    </row>
    <row r="156" spans="2:13" x14ac:dyDescent="0.25">
      <c r="B156" s="11" t="s">
        <v>518</v>
      </c>
      <c r="C156" s="230" t="s">
        <v>657</v>
      </c>
      <c r="D156" s="230"/>
      <c r="E156" s="230" t="s">
        <v>744</v>
      </c>
      <c r="F156" s="230"/>
      <c r="G156" s="14"/>
      <c r="H156" s="14"/>
      <c r="J156" s="7"/>
      <c r="K156" s="7"/>
    </row>
    <row r="157" spans="2:13" x14ac:dyDescent="0.25">
      <c r="B157" s="11"/>
      <c r="C157" s="185"/>
      <c r="D157" s="185"/>
      <c r="E157" s="185"/>
      <c r="F157" s="185"/>
      <c r="G157" s="14"/>
      <c r="H157" s="14"/>
      <c r="J157" s="7"/>
      <c r="K157" s="7"/>
    </row>
    <row r="158" spans="2:13" x14ac:dyDescent="0.25">
      <c r="B158" s="32" t="s">
        <v>1046</v>
      </c>
      <c r="C158" s="283" t="s">
        <v>3835</v>
      </c>
      <c r="D158" s="283"/>
      <c r="E158" s="283" t="s">
        <v>513</v>
      </c>
      <c r="F158" s="283"/>
      <c r="G158" s="14"/>
      <c r="H158" s="14"/>
      <c r="J158" s="7"/>
      <c r="K158" s="7"/>
    </row>
    <row r="159" spans="2:13" ht="15.75" thickBot="1" x14ac:dyDescent="0.3">
      <c r="B159" s="32"/>
      <c r="C159" s="198"/>
      <c r="D159" s="198"/>
      <c r="E159" s="198"/>
      <c r="F159" s="198"/>
      <c r="G159" s="14"/>
      <c r="H159" s="14"/>
      <c r="J159" s="7"/>
      <c r="K159" s="7"/>
    </row>
    <row r="160" spans="2:13" x14ac:dyDescent="0.25">
      <c r="B160" s="217" t="s">
        <v>401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9"/>
    </row>
    <row r="161" spans="2:13" x14ac:dyDescent="0.25">
      <c r="B161" s="3" t="s">
        <v>402</v>
      </c>
      <c r="C161" s="232" t="s">
        <v>403</v>
      </c>
      <c r="D161" s="232"/>
      <c r="E161" s="232" t="s">
        <v>467</v>
      </c>
      <c r="F161" s="232"/>
      <c r="G161" s="232" t="s">
        <v>405</v>
      </c>
      <c r="H161" s="232"/>
      <c r="I161" s="232" t="s">
        <v>406</v>
      </c>
      <c r="J161" s="232"/>
      <c r="K161" s="234" t="s">
        <v>468</v>
      </c>
      <c r="L161" s="235"/>
      <c r="M161" s="236"/>
    </row>
    <row r="162" spans="2:13" ht="15.75" thickBot="1" x14ac:dyDescent="0.3">
      <c r="B162" s="5"/>
      <c r="C162" s="237"/>
      <c r="D162" s="238"/>
      <c r="E162" s="239"/>
      <c r="F162" s="238"/>
      <c r="G162" s="240"/>
      <c r="H162" s="240"/>
      <c r="I162" s="241"/>
      <c r="J162" s="241"/>
      <c r="K162" s="242"/>
      <c r="L162" s="243"/>
      <c r="M162" s="244"/>
    </row>
    <row r="163" spans="2:13" ht="15.75" thickBot="1" x14ac:dyDescent="0.3">
      <c r="B163" s="1"/>
      <c r="C163" s="1"/>
      <c r="D163" s="1"/>
      <c r="E163" s="1"/>
      <c r="F163" s="1"/>
      <c r="G163" s="1"/>
      <c r="H163" s="1"/>
    </row>
    <row r="164" spans="2:13" x14ac:dyDescent="0.25">
      <c r="B164" s="217" t="s">
        <v>408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9"/>
    </row>
    <row r="165" spans="2:13" x14ac:dyDescent="0.25">
      <c r="B165" s="3" t="s">
        <v>5889</v>
      </c>
      <c r="C165" s="268" t="s">
        <v>5890</v>
      </c>
      <c r="D165" s="268"/>
      <c r="E165" s="233" t="s">
        <v>5891</v>
      </c>
      <c r="F165" s="233"/>
      <c r="G165" s="233" t="s">
        <v>5892</v>
      </c>
      <c r="H165" s="233"/>
      <c r="I165" s="233" t="s">
        <v>5613</v>
      </c>
      <c r="J165" s="233"/>
      <c r="K165" s="232" t="s">
        <v>5893</v>
      </c>
      <c r="L165" s="232"/>
      <c r="M165" s="269"/>
    </row>
    <row r="166" spans="2:13" ht="15.75" thickBot="1" x14ac:dyDescent="0.3">
      <c r="B166" s="5" t="s">
        <v>2352</v>
      </c>
      <c r="C166" s="240" t="s">
        <v>5800</v>
      </c>
      <c r="D166" s="240"/>
      <c r="E166" s="388" t="s">
        <v>5894</v>
      </c>
      <c r="F166" s="388"/>
      <c r="G166" s="388" t="s">
        <v>5895</v>
      </c>
      <c r="H166" s="388"/>
      <c r="I166" s="388" t="s">
        <v>5731</v>
      </c>
      <c r="J166" s="388"/>
      <c r="K166" s="240" t="s">
        <v>5896</v>
      </c>
      <c r="L166" s="240"/>
      <c r="M166" s="267"/>
    </row>
    <row r="168" spans="2:13" ht="23.25" x14ac:dyDescent="0.35">
      <c r="B168" s="29" t="s">
        <v>334</v>
      </c>
      <c r="C168" s="229" t="s">
        <v>242</v>
      </c>
      <c r="D168" s="229"/>
      <c r="E168" s="229"/>
      <c r="F168" s="229"/>
      <c r="G168" s="229"/>
      <c r="H168" s="229"/>
      <c r="I168" s="229"/>
      <c r="J168" s="229"/>
    </row>
    <row r="169" spans="2:13" ht="18.75" x14ac:dyDescent="0.3">
      <c r="B169" s="12" t="s">
        <v>335</v>
      </c>
      <c r="C169" s="195" t="s">
        <v>5835</v>
      </c>
      <c r="D169" s="228" t="s">
        <v>427</v>
      </c>
      <c r="E169" s="228"/>
      <c r="F169" s="1" t="s">
        <v>5897</v>
      </c>
      <c r="L169" s="12" t="s">
        <v>339</v>
      </c>
      <c r="M169" s="6" t="s">
        <v>5898</v>
      </c>
    </row>
    <row r="171" spans="2:13" x14ac:dyDescent="0.25">
      <c r="B171" s="2" t="s">
        <v>341</v>
      </c>
      <c r="C171" s="216" t="s">
        <v>5899</v>
      </c>
      <c r="D171" s="216"/>
      <c r="E171" s="216" t="s">
        <v>5900</v>
      </c>
      <c r="F171" s="216"/>
      <c r="G171" s="228" t="s">
        <v>345</v>
      </c>
      <c r="H171" s="228"/>
      <c r="I171" s="228"/>
      <c r="J171" s="228"/>
      <c r="K171" s="228"/>
    </row>
    <row r="172" spans="2:13" x14ac:dyDescent="0.25">
      <c r="C172" s="251"/>
      <c r="D172" s="251"/>
      <c r="I172" s="7"/>
      <c r="J172" s="7"/>
      <c r="K172" s="7"/>
    </row>
    <row r="173" spans="2:13" x14ac:dyDescent="0.25">
      <c r="B173" s="11" t="s">
        <v>5901</v>
      </c>
      <c r="C173" s="231" t="s">
        <v>1209</v>
      </c>
      <c r="D173" s="231"/>
      <c r="E173" s="231" t="s">
        <v>1031</v>
      </c>
      <c r="F173" s="231"/>
      <c r="G173" s="14" t="s">
        <v>5902</v>
      </c>
      <c r="H173" s="14"/>
      <c r="I173" s="14"/>
      <c r="J173" s="7"/>
      <c r="K173" s="7"/>
    </row>
    <row r="174" spans="2:13" x14ac:dyDescent="0.25">
      <c r="B174" s="11"/>
      <c r="C174" s="11"/>
      <c r="D174" s="185"/>
      <c r="E174" s="11"/>
      <c r="F174" s="185"/>
      <c r="G174" s="14" t="s">
        <v>5903</v>
      </c>
      <c r="H174" s="14"/>
      <c r="I174" s="14"/>
      <c r="J174" s="7"/>
      <c r="K174" s="7"/>
    </row>
    <row r="175" spans="2:13" x14ac:dyDescent="0.25">
      <c r="B175" s="1" t="s">
        <v>5904</v>
      </c>
      <c r="C175" s="296" t="s">
        <v>382</v>
      </c>
      <c r="D175" s="296"/>
      <c r="E175" s="296" t="s">
        <v>383</v>
      </c>
      <c r="F175" s="296"/>
      <c r="G175" s="14" t="s">
        <v>5905</v>
      </c>
      <c r="H175" s="14"/>
      <c r="I175" s="14"/>
      <c r="J175" s="7"/>
      <c r="K175" s="7"/>
    </row>
    <row r="176" spans="2:13" x14ac:dyDescent="0.25">
      <c r="B176" s="1"/>
      <c r="C176" s="195"/>
      <c r="D176" s="195"/>
      <c r="E176" s="195"/>
      <c r="F176" s="195"/>
      <c r="G176" s="14" t="s">
        <v>1665</v>
      </c>
      <c r="H176" s="14"/>
      <c r="I176" s="14"/>
      <c r="J176" s="7"/>
      <c r="K176" s="7"/>
    </row>
    <row r="177" spans="2:13" x14ac:dyDescent="0.25">
      <c r="B177" s="11" t="s">
        <v>1122</v>
      </c>
      <c r="C177" s="231" t="s">
        <v>5906</v>
      </c>
      <c r="D177" s="231"/>
      <c r="E177" s="231" t="s">
        <v>5907</v>
      </c>
      <c r="F177" s="231"/>
      <c r="G177" s="14" t="s">
        <v>5908</v>
      </c>
      <c r="H177" s="14"/>
      <c r="I177" s="14" t="s">
        <v>5909</v>
      </c>
      <c r="J177" s="7"/>
      <c r="K177" s="7"/>
    </row>
    <row r="178" spans="2:13" x14ac:dyDescent="0.25">
      <c r="B178" s="11"/>
      <c r="C178" s="185"/>
      <c r="D178" s="185"/>
      <c r="E178" s="185"/>
      <c r="F178" s="185"/>
      <c r="G178" s="14"/>
      <c r="H178" s="14"/>
      <c r="I178" s="14" t="s">
        <v>5910</v>
      </c>
      <c r="J178" s="7"/>
      <c r="K178" s="7"/>
    </row>
    <row r="179" spans="2:13" x14ac:dyDescent="0.25">
      <c r="B179" s="1" t="s">
        <v>1471</v>
      </c>
      <c r="C179" s="296" t="s">
        <v>391</v>
      </c>
      <c r="D179" s="296"/>
      <c r="E179" s="296" t="s">
        <v>392</v>
      </c>
      <c r="F179" s="296"/>
      <c r="J179" s="7"/>
      <c r="K179" s="7"/>
    </row>
    <row r="180" spans="2:13" x14ac:dyDescent="0.25">
      <c r="B180" s="1"/>
      <c r="C180" s="1"/>
      <c r="D180" s="195"/>
      <c r="E180" s="1"/>
      <c r="F180" s="195"/>
      <c r="J180" s="7"/>
      <c r="K180" s="7"/>
    </row>
    <row r="181" spans="2:13" x14ac:dyDescent="0.25">
      <c r="B181" s="11" t="s">
        <v>1046</v>
      </c>
      <c r="C181" s="231" t="s">
        <v>744</v>
      </c>
      <c r="D181" s="231"/>
      <c r="E181" s="231" t="s">
        <v>487</v>
      </c>
      <c r="F181" s="231"/>
      <c r="J181" s="7"/>
      <c r="K181" s="7"/>
    </row>
    <row r="182" spans="2:13" x14ac:dyDescent="0.25">
      <c r="B182" s="11"/>
      <c r="C182" s="11"/>
      <c r="D182" s="185"/>
      <c r="E182" s="11"/>
      <c r="F182" s="185"/>
      <c r="G182" s="14"/>
      <c r="H182" s="14"/>
      <c r="J182" s="7"/>
      <c r="K182" s="7"/>
    </row>
    <row r="183" spans="2:13" x14ac:dyDescent="0.25">
      <c r="B183" s="1" t="s">
        <v>518</v>
      </c>
      <c r="C183" s="296" t="s">
        <v>5911</v>
      </c>
      <c r="D183" s="296"/>
      <c r="E183" s="296" t="s">
        <v>5912</v>
      </c>
      <c r="F183" s="296"/>
      <c r="G183" s="14"/>
      <c r="H183" s="14"/>
      <c r="J183" s="7"/>
      <c r="K183" s="7"/>
    </row>
    <row r="184" spans="2:13" ht="15.75" thickBot="1" x14ac:dyDescent="0.3">
      <c r="B184" s="32"/>
      <c r="C184" s="1"/>
      <c r="D184" s="195"/>
      <c r="E184" s="1"/>
      <c r="F184" s="195"/>
      <c r="G184" s="14"/>
      <c r="H184" s="14"/>
      <c r="J184" s="7"/>
      <c r="K184" s="7"/>
    </row>
    <row r="185" spans="2:13" x14ac:dyDescent="0.25">
      <c r="B185" s="217" t="s">
        <v>401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9"/>
    </row>
    <row r="186" spans="2:13" x14ac:dyDescent="0.25">
      <c r="B186" s="3" t="s">
        <v>402</v>
      </c>
      <c r="C186" s="232" t="s">
        <v>403</v>
      </c>
      <c r="D186" s="232"/>
      <c r="E186" s="232" t="s">
        <v>467</v>
      </c>
      <c r="F186" s="232"/>
      <c r="G186" s="232" t="s">
        <v>405</v>
      </c>
      <c r="H186" s="232"/>
      <c r="I186" s="232" t="s">
        <v>406</v>
      </c>
      <c r="J186" s="232"/>
      <c r="K186" s="234" t="s">
        <v>468</v>
      </c>
      <c r="L186" s="235"/>
      <c r="M186" s="236"/>
    </row>
    <row r="187" spans="2:13" ht="15.75" thickBot="1" x14ac:dyDescent="0.3">
      <c r="B187" s="5"/>
      <c r="C187" s="237"/>
      <c r="D187" s="238"/>
      <c r="E187" s="239"/>
      <c r="F187" s="238"/>
      <c r="G187" s="240"/>
      <c r="H187" s="240"/>
      <c r="I187" s="241"/>
      <c r="J187" s="241"/>
      <c r="K187" s="242"/>
      <c r="L187" s="243"/>
      <c r="M187" s="244"/>
    </row>
    <row r="188" spans="2:13" x14ac:dyDescent="0.25">
      <c r="B188" s="1"/>
      <c r="C188" s="1"/>
      <c r="D188" s="1"/>
      <c r="E188" s="1"/>
      <c r="F188" s="1"/>
      <c r="G188" s="1"/>
      <c r="H188" s="1"/>
    </row>
    <row r="189" spans="2:13" x14ac:dyDescent="0.25">
      <c r="B189" s="217" t="s">
        <v>5843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9"/>
    </row>
    <row r="190" spans="2:13" x14ac:dyDescent="0.25">
      <c r="B190" s="122" t="s">
        <v>5913</v>
      </c>
      <c r="C190" s="220" t="s">
        <v>5914</v>
      </c>
      <c r="D190" s="220"/>
      <c r="E190" s="221" t="s">
        <v>5915</v>
      </c>
      <c r="F190" s="221"/>
      <c r="G190" s="221" t="s">
        <v>5916</v>
      </c>
      <c r="H190" s="221"/>
      <c r="I190" s="220" t="s">
        <v>5917</v>
      </c>
      <c r="J190" s="220"/>
      <c r="K190" s="220" t="s">
        <v>5918</v>
      </c>
      <c r="L190" s="220"/>
      <c r="M190" s="222"/>
    </row>
    <row r="191" spans="2:13" x14ac:dyDescent="0.25">
      <c r="B191" s="123" t="s">
        <v>415</v>
      </c>
      <c r="C191" s="225" t="s">
        <v>5919</v>
      </c>
      <c r="D191" s="226"/>
      <c r="E191" s="223" t="s">
        <v>5920</v>
      </c>
      <c r="F191" s="223"/>
      <c r="G191" s="223" t="s">
        <v>5921</v>
      </c>
      <c r="H191" s="223"/>
      <c r="I191" s="227" t="s">
        <v>5922</v>
      </c>
      <c r="J191" s="227"/>
      <c r="K191" s="223" t="s">
        <v>5923</v>
      </c>
      <c r="L191" s="223"/>
      <c r="M191" s="224"/>
    </row>
    <row r="192" spans="2:13" x14ac:dyDescent="0.25">
      <c r="B192" s="123" t="s">
        <v>5924</v>
      </c>
      <c r="C192" s="225" t="s">
        <v>422</v>
      </c>
      <c r="D192" s="226"/>
      <c r="E192" s="227" t="s">
        <v>5925</v>
      </c>
      <c r="F192" s="227"/>
      <c r="G192" s="223" t="s">
        <v>5926</v>
      </c>
      <c r="H192" s="223"/>
      <c r="I192" s="223" t="s">
        <v>5927</v>
      </c>
      <c r="J192" s="223"/>
      <c r="K192" s="223" t="s">
        <v>5928</v>
      </c>
      <c r="L192" s="223"/>
      <c r="M192" s="224"/>
    </row>
    <row r="194" spans="2:13" ht="23.25" x14ac:dyDescent="0.35">
      <c r="B194" s="29" t="s">
        <v>334</v>
      </c>
      <c r="C194" s="229" t="s">
        <v>245</v>
      </c>
      <c r="D194" s="229"/>
      <c r="E194" s="229"/>
      <c r="F194" s="229"/>
      <c r="G194" s="229"/>
      <c r="H194" s="229"/>
      <c r="I194" s="229"/>
      <c r="J194" s="229"/>
    </row>
    <row r="195" spans="2:13" ht="18.75" x14ac:dyDescent="0.3">
      <c r="B195" s="12" t="s">
        <v>335</v>
      </c>
      <c r="C195" s="195" t="s">
        <v>5780</v>
      </c>
      <c r="D195" s="228" t="s">
        <v>427</v>
      </c>
      <c r="E195" s="228"/>
      <c r="F195" s="1" t="s">
        <v>5805</v>
      </c>
      <c r="L195" s="12" t="s">
        <v>339</v>
      </c>
      <c r="M195" s="6" t="s">
        <v>5929</v>
      </c>
    </row>
    <row r="197" spans="2:13" x14ac:dyDescent="0.25">
      <c r="B197" s="2" t="s">
        <v>341</v>
      </c>
      <c r="C197" s="250" t="s">
        <v>342</v>
      </c>
      <c r="D197" s="250"/>
      <c r="E197" s="250" t="s">
        <v>343</v>
      </c>
      <c r="F197" s="250"/>
      <c r="G197" s="250" t="s">
        <v>954</v>
      </c>
      <c r="H197" s="250"/>
      <c r="I197" s="228" t="s">
        <v>345</v>
      </c>
      <c r="J197" s="228"/>
      <c r="K197" s="228"/>
      <c r="L197" s="228"/>
      <c r="M197" s="228"/>
    </row>
    <row r="198" spans="2:13" x14ac:dyDescent="0.25">
      <c r="C198" s="251"/>
      <c r="D198" s="251"/>
      <c r="K198" s="7"/>
      <c r="L198" s="7"/>
      <c r="M198" s="7"/>
    </row>
    <row r="199" spans="2:13" x14ac:dyDescent="0.25">
      <c r="B199" s="11" t="s">
        <v>5930</v>
      </c>
      <c r="C199" s="231" t="s">
        <v>390</v>
      </c>
      <c r="D199" s="231"/>
      <c r="E199" s="336" t="s">
        <v>2164</v>
      </c>
      <c r="F199" s="336"/>
      <c r="G199" s="231" t="s">
        <v>391</v>
      </c>
      <c r="H199" s="231"/>
      <c r="I199" s="14" t="s">
        <v>5931</v>
      </c>
      <c r="L199" s="7"/>
      <c r="M199" s="7"/>
    </row>
    <row r="200" spans="2:13" x14ac:dyDescent="0.25">
      <c r="B200" s="11"/>
      <c r="C200" s="11"/>
      <c r="D200" s="11"/>
      <c r="E200" s="11"/>
      <c r="F200" s="185"/>
      <c r="G200" s="11"/>
      <c r="H200" s="185"/>
      <c r="I200" s="14" t="s">
        <v>5932</v>
      </c>
      <c r="L200" s="7"/>
      <c r="M200" s="7"/>
    </row>
    <row r="201" spans="2:13" x14ac:dyDescent="0.25">
      <c r="B201" s="1" t="s">
        <v>3153</v>
      </c>
      <c r="C201" s="296" t="s">
        <v>5933</v>
      </c>
      <c r="D201" s="296"/>
      <c r="E201" s="296" t="s">
        <v>5934</v>
      </c>
      <c r="F201" s="296"/>
      <c r="G201" s="296" t="s">
        <v>983</v>
      </c>
      <c r="H201" s="296"/>
      <c r="I201" s="14" t="s">
        <v>5935</v>
      </c>
      <c r="L201" s="7"/>
      <c r="M201" s="7"/>
    </row>
    <row r="202" spans="2:13" x14ac:dyDescent="0.25">
      <c r="B202" s="1"/>
      <c r="C202" s="1"/>
      <c r="D202" s="195"/>
      <c r="E202" s="283"/>
      <c r="F202" s="283"/>
      <c r="G202" s="283"/>
      <c r="H202" s="283"/>
      <c r="I202" s="14" t="s">
        <v>5936</v>
      </c>
      <c r="L202" s="7"/>
      <c r="M202" s="7"/>
    </row>
    <row r="203" spans="2:13" x14ac:dyDescent="0.25">
      <c r="B203" s="11" t="s">
        <v>5937</v>
      </c>
      <c r="C203" s="252" t="s">
        <v>2921</v>
      </c>
      <c r="D203" s="252"/>
      <c r="E203" s="252" t="s">
        <v>2944</v>
      </c>
      <c r="F203" s="252"/>
      <c r="G203" s="230" t="s">
        <v>1032</v>
      </c>
      <c r="H203" s="230"/>
      <c r="I203" s="14" t="s">
        <v>5938</v>
      </c>
      <c r="L203" s="7"/>
      <c r="M203" s="7"/>
    </row>
    <row r="204" spans="2:13" x14ac:dyDescent="0.25">
      <c r="B204" s="11" t="s">
        <v>5939</v>
      </c>
      <c r="C204" s="185"/>
      <c r="D204" s="185"/>
      <c r="E204" s="185"/>
      <c r="F204" s="185"/>
      <c r="G204" s="185"/>
      <c r="H204" s="185"/>
      <c r="I204" s="14" t="s">
        <v>5940</v>
      </c>
      <c r="L204" s="7"/>
      <c r="M204" s="7"/>
    </row>
    <row r="205" spans="2:13" x14ac:dyDescent="0.25">
      <c r="B205" s="1" t="s">
        <v>5941</v>
      </c>
      <c r="C205" s="288" t="s">
        <v>5942</v>
      </c>
      <c r="D205" s="288"/>
      <c r="E205" s="288" t="s">
        <v>5943</v>
      </c>
      <c r="F205" s="288"/>
      <c r="G205" s="288" t="s">
        <v>5944</v>
      </c>
      <c r="H205" s="288"/>
      <c r="I205" s="14" t="s">
        <v>5945</v>
      </c>
      <c r="L205" s="7"/>
      <c r="M205" s="7"/>
    </row>
    <row r="206" spans="2:13" x14ac:dyDescent="0.25">
      <c r="B206" s="1"/>
      <c r="C206" s="198"/>
      <c r="D206" s="198"/>
      <c r="E206" s="198"/>
      <c r="F206" s="198"/>
      <c r="G206" s="198"/>
      <c r="H206" s="198"/>
      <c r="I206" s="14" t="s">
        <v>5946</v>
      </c>
      <c r="L206" s="7"/>
      <c r="M206" s="7"/>
    </row>
    <row r="207" spans="2:13" x14ac:dyDescent="0.25">
      <c r="B207" s="11" t="s">
        <v>454</v>
      </c>
      <c r="C207" s="284" t="s">
        <v>5947</v>
      </c>
      <c r="D207" s="284"/>
      <c r="E207" s="230" t="s">
        <v>399</v>
      </c>
      <c r="F207" s="230"/>
      <c r="G207" s="230" t="s">
        <v>1497</v>
      </c>
      <c r="H207" s="230"/>
      <c r="I207" s="14" t="s">
        <v>5948</v>
      </c>
      <c r="L207" s="7"/>
      <c r="M207" s="7"/>
    </row>
    <row r="208" spans="2:13" x14ac:dyDescent="0.25">
      <c r="B208" s="11"/>
      <c r="C208" s="185"/>
      <c r="D208" s="185"/>
      <c r="E208" s="185"/>
      <c r="F208" s="185"/>
      <c r="G208" s="185"/>
      <c r="H208" s="185"/>
      <c r="I208" s="14"/>
      <c r="J208" s="14"/>
      <c r="L208" s="7"/>
      <c r="M208" s="7"/>
    </row>
    <row r="209" spans="2:13" x14ac:dyDescent="0.25">
      <c r="B209" s="1" t="s">
        <v>2903</v>
      </c>
      <c r="C209" s="288" t="s">
        <v>392</v>
      </c>
      <c r="D209" s="288"/>
      <c r="E209" s="288" t="s">
        <v>395</v>
      </c>
      <c r="F209" s="288"/>
      <c r="G209" s="288" t="s">
        <v>2165</v>
      </c>
      <c r="H209" s="288"/>
      <c r="I209" s="14"/>
      <c r="J209" s="14"/>
      <c r="L209" s="7"/>
      <c r="M209" s="7"/>
    </row>
    <row r="210" spans="2:13" x14ac:dyDescent="0.25">
      <c r="B210" s="1"/>
      <c r="C210" s="198"/>
      <c r="D210" s="198"/>
      <c r="E210" s="198"/>
      <c r="F210" s="198"/>
      <c r="G210" s="198"/>
      <c r="H210" s="198"/>
      <c r="I210" s="14"/>
      <c r="J210" s="14"/>
      <c r="L210" s="7"/>
      <c r="M210" s="7"/>
    </row>
    <row r="211" spans="2:13" x14ac:dyDescent="0.25">
      <c r="B211" s="11" t="s">
        <v>457</v>
      </c>
      <c r="C211" s="230" t="s">
        <v>392</v>
      </c>
      <c r="D211" s="230"/>
      <c r="E211" s="230" t="s">
        <v>395</v>
      </c>
      <c r="F211" s="230"/>
      <c r="G211" s="230" t="s">
        <v>2165</v>
      </c>
      <c r="H211" s="230"/>
      <c r="I211" s="14"/>
      <c r="J211" s="14"/>
      <c r="L211" s="7"/>
      <c r="M211" s="7"/>
    </row>
    <row r="212" spans="2:13" x14ac:dyDescent="0.25">
      <c r="B212" s="11"/>
      <c r="C212" s="185"/>
      <c r="D212" s="185"/>
      <c r="E212" s="185"/>
      <c r="F212" s="185"/>
      <c r="G212" s="185"/>
      <c r="H212" s="185"/>
      <c r="I212" s="14"/>
      <c r="J212" s="14"/>
      <c r="L212" s="7"/>
      <c r="M212" s="7"/>
    </row>
    <row r="213" spans="2:13" x14ac:dyDescent="0.25">
      <c r="B213" s="1" t="s">
        <v>1224</v>
      </c>
      <c r="C213" s="288" t="s">
        <v>390</v>
      </c>
      <c r="D213" s="288"/>
      <c r="E213" s="313" t="s">
        <v>2164</v>
      </c>
      <c r="F213" s="313"/>
      <c r="G213" s="288" t="s">
        <v>391</v>
      </c>
      <c r="H213" s="288"/>
      <c r="I213" s="14"/>
      <c r="J213" s="14"/>
      <c r="L213" s="7"/>
      <c r="M213" s="7"/>
    </row>
    <row r="214" spans="2:13" x14ac:dyDescent="0.25">
      <c r="B214" s="1"/>
      <c r="C214" s="198"/>
      <c r="D214" s="198"/>
      <c r="E214" s="198"/>
      <c r="F214" s="198"/>
      <c r="G214" s="198"/>
      <c r="H214" s="198"/>
      <c r="I214" s="14"/>
      <c r="J214" s="14"/>
      <c r="L214" s="7"/>
      <c r="M214" s="7"/>
    </row>
    <row r="215" spans="2:13" x14ac:dyDescent="0.25">
      <c r="B215" s="11" t="s">
        <v>5949</v>
      </c>
      <c r="C215" s="230" t="s">
        <v>4522</v>
      </c>
      <c r="D215" s="230"/>
      <c r="E215" s="230" t="s">
        <v>3367</v>
      </c>
      <c r="F215" s="230"/>
      <c r="G215" s="230" t="s">
        <v>1953</v>
      </c>
      <c r="H215" s="230"/>
      <c r="I215" s="14"/>
      <c r="J215" s="14"/>
      <c r="L215" s="7"/>
      <c r="M215" s="7"/>
    </row>
    <row r="216" spans="2:13" x14ac:dyDescent="0.25">
      <c r="B216" s="11"/>
      <c r="C216" s="185"/>
      <c r="D216" s="185"/>
      <c r="E216" s="185"/>
      <c r="F216" s="185"/>
      <c r="G216" s="185"/>
      <c r="H216" s="185"/>
      <c r="I216" s="14"/>
      <c r="J216" s="14"/>
      <c r="L216" s="7"/>
      <c r="M216" s="7"/>
    </row>
    <row r="217" spans="2:13" x14ac:dyDescent="0.25">
      <c r="B217" s="1" t="s">
        <v>5950</v>
      </c>
      <c r="C217" s="288" t="s">
        <v>3911</v>
      </c>
      <c r="D217" s="288"/>
      <c r="E217" s="288" t="s">
        <v>1429</v>
      </c>
      <c r="F217" s="288"/>
      <c r="G217" s="288" t="s">
        <v>891</v>
      </c>
      <c r="H217" s="288"/>
      <c r="I217" s="14"/>
      <c r="J217" s="14"/>
      <c r="L217" s="7"/>
      <c r="M217" s="7"/>
    </row>
    <row r="218" spans="2:13" ht="15.75" thickBot="1" x14ac:dyDescent="0.3">
      <c r="B218" s="32"/>
      <c r="C218" s="198"/>
      <c r="D218" s="198"/>
      <c r="E218" s="198"/>
      <c r="F218" s="198"/>
      <c r="G218" s="198"/>
      <c r="H218" s="198"/>
      <c r="I218" s="14"/>
      <c r="J218" s="14"/>
      <c r="L218" s="7"/>
      <c r="M218" s="7"/>
    </row>
    <row r="219" spans="2:13" x14ac:dyDescent="0.25">
      <c r="B219" s="217" t="s">
        <v>401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9"/>
    </row>
    <row r="220" spans="2:13" x14ac:dyDescent="0.25">
      <c r="B220" s="3" t="s">
        <v>402</v>
      </c>
      <c r="C220" s="232" t="s">
        <v>403</v>
      </c>
      <c r="D220" s="232"/>
      <c r="E220" s="232" t="s">
        <v>467</v>
      </c>
      <c r="F220" s="232"/>
      <c r="G220" s="232" t="s">
        <v>405</v>
      </c>
      <c r="H220" s="232"/>
      <c r="I220" s="232" t="s">
        <v>406</v>
      </c>
      <c r="J220" s="232"/>
      <c r="K220" s="234" t="s">
        <v>468</v>
      </c>
      <c r="L220" s="235"/>
      <c r="M220" s="236"/>
    </row>
    <row r="221" spans="2:13" ht="15.75" thickBot="1" x14ac:dyDescent="0.3">
      <c r="B221" s="5"/>
      <c r="C221" s="237"/>
      <c r="D221" s="238"/>
      <c r="E221" s="239"/>
      <c r="F221" s="238"/>
      <c r="G221" s="240"/>
      <c r="H221" s="240"/>
      <c r="I221" s="241"/>
      <c r="J221" s="241"/>
      <c r="K221" s="242"/>
      <c r="L221" s="243"/>
      <c r="M221" s="244"/>
    </row>
    <row r="222" spans="2:13" ht="15.75" thickBot="1" x14ac:dyDescent="0.3">
      <c r="B222" s="1"/>
      <c r="C222" s="1"/>
      <c r="D222" s="1"/>
      <c r="E222" s="1"/>
      <c r="F222" s="1"/>
      <c r="G222" s="1"/>
      <c r="H222" s="1"/>
    </row>
    <row r="223" spans="2:13" x14ac:dyDescent="0.25">
      <c r="B223" s="217" t="s">
        <v>408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9"/>
    </row>
    <row r="224" spans="2:13" x14ac:dyDescent="0.25">
      <c r="B224" s="3" t="s">
        <v>5951</v>
      </c>
      <c r="C224" s="268" t="s">
        <v>2771</v>
      </c>
      <c r="D224" s="268"/>
      <c r="E224" s="233" t="s">
        <v>2769</v>
      </c>
      <c r="F224" s="233"/>
      <c r="G224" s="233" t="s">
        <v>3889</v>
      </c>
      <c r="H224" s="233"/>
      <c r="I224" s="233" t="s">
        <v>4335</v>
      </c>
      <c r="J224" s="233"/>
      <c r="K224" s="232" t="s">
        <v>4162</v>
      </c>
      <c r="L224" s="232"/>
      <c r="M224" s="269"/>
    </row>
    <row r="225" spans="2:15" ht="15.75" thickBot="1" x14ac:dyDescent="0.3">
      <c r="B225" s="5" t="s">
        <v>1181</v>
      </c>
      <c r="C225" s="240" t="s">
        <v>3739</v>
      </c>
      <c r="D225" s="240"/>
      <c r="E225" s="388" t="s">
        <v>1562</v>
      </c>
      <c r="F225" s="388"/>
      <c r="G225" s="388" t="s">
        <v>1563</v>
      </c>
      <c r="H225" s="388"/>
      <c r="I225" s="388" t="s">
        <v>4937</v>
      </c>
      <c r="J225" s="388"/>
      <c r="K225" s="240" t="s">
        <v>1561</v>
      </c>
      <c r="L225" s="240"/>
      <c r="M225" s="267"/>
    </row>
    <row r="227" spans="2:15" ht="23.25" x14ac:dyDescent="0.35">
      <c r="B227" s="29" t="s">
        <v>334</v>
      </c>
      <c r="C227" s="229" t="s">
        <v>251</v>
      </c>
      <c r="D227" s="229"/>
      <c r="E227" s="229"/>
      <c r="F227" s="229"/>
      <c r="G227" s="229"/>
      <c r="H227" s="229"/>
      <c r="I227" s="229"/>
      <c r="J227" s="229"/>
    </row>
    <row r="228" spans="2:15" ht="18.75" x14ac:dyDescent="0.3">
      <c r="B228" s="12" t="s">
        <v>335</v>
      </c>
      <c r="C228" s="195" t="s">
        <v>5835</v>
      </c>
      <c r="D228" s="228" t="s">
        <v>427</v>
      </c>
      <c r="E228" s="228"/>
      <c r="F228" s="1" t="s">
        <v>5836</v>
      </c>
      <c r="L228" s="12" t="s">
        <v>339</v>
      </c>
      <c r="M228" s="6" t="s">
        <v>5952</v>
      </c>
    </row>
    <row r="230" spans="2:15" x14ac:dyDescent="0.25">
      <c r="B230" s="2" t="s">
        <v>341</v>
      </c>
      <c r="C230" s="250" t="s">
        <v>4346</v>
      </c>
      <c r="D230" s="250"/>
      <c r="E230" s="250" t="s">
        <v>4348</v>
      </c>
      <c r="F230" s="250"/>
      <c r="G230" s="228" t="s">
        <v>345</v>
      </c>
      <c r="H230" s="228"/>
      <c r="I230" s="228"/>
      <c r="J230" s="228"/>
      <c r="K230" s="228"/>
      <c r="O230" s="101" t="s">
        <v>1262</v>
      </c>
    </row>
    <row r="231" spans="2:15" x14ac:dyDescent="0.25">
      <c r="C231" s="251"/>
      <c r="D231" s="251"/>
      <c r="I231" s="7"/>
      <c r="J231" s="7"/>
      <c r="K231" s="7"/>
    </row>
    <row r="232" spans="2:15" x14ac:dyDescent="0.25">
      <c r="B232" s="11" t="s">
        <v>677</v>
      </c>
      <c r="C232" s="231" t="s">
        <v>1194</v>
      </c>
      <c r="D232" s="231"/>
      <c r="E232" s="231" t="s">
        <v>603</v>
      </c>
      <c r="F232" s="231"/>
      <c r="G232" s="14" t="s">
        <v>5953</v>
      </c>
      <c r="J232" s="7"/>
      <c r="K232" s="7"/>
      <c r="O232" s="98">
        <v>5.3999999999999999E-2</v>
      </c>
    </row>
    <row r="233" spans="2:15" x14ac:dyDescent="0.25">
      <c r="B233" s="11"/>
      <c r="C233" s="11"/>
      <c r="D233" s="185"/>
      <c r="E233" s="11"/>
      <c r="F233" s="185"/>
      <c r="G233" s="14" t="s">
        <v>5954</v>
      </c>
      <c r="J233" s="7"/>
      <c r="K233" s="7"/>
      <c r="O233" s="98"/>
    </row>
    <row r="234" spans="2:15" x14ac:dyDescent="0.25">
      <c r="B234" s="1" t="s">
        <v>1122</v>
      </c>
      <c r="C234" s="296" t="s">
        <v>390</v>
      </c>
      <c r="D234" s="296"/>
      <c r="E234" s="296" t="s">
        <v>789</v>
      </c>
      <c r="F234" s="296"/>
      <c r="G234" s="14" t="s">
        <v>5955</v>
      </c>
      <c r="J234" s="7"/>
      <c r="K234" s="7"/>
      <c r="O234" s="98">
        <v>9.4000000000000004E-3</v>
      </c>
    </row>
    <row r="235" spans="2:15" x14ac:dyDescent="0.25">
      <c r="B235" s="1"/>
      <c r="C235" s="195"/>
      <c r="D235" s="195"/>
      <c r="E235" s="195"/>
      <c r="F235" s="195"/>
      <c r="G235" s="14"/>
      <c r="H235" s="14"/>
      <c r="J235" s="7"/>
      <c r="K235" s="7"/>
      <c r="O235" s="98"/>
    </row>
    <row r="236" spans="2:15" x14ac:dyDescent="0.25">
      <c r="B236" s="11" t="s">
        <v>1719</v>
      </c>
      <c r="C236" s="231" t="s">
        <v>390</v>
      </c>
      <c r="D236" s="231"/>
      <c r="E236" s="231" t="s">
        <v>789</v>
      </c>
      <c r="F236" s="231"/>
      <c r="G236" s="15" t="s">
        <v>2576</v>
      </c>
      <c r="H236" s="14"/>
      <c r="I236" s="14" t="s">
        <v>1665</v>
      </c>
      <c r="J236" s="7"/>
      <c r="K236" s="7"/>
      <c r="O236" s="102">
        <v>3.8E-3</v>
      </c>
    </row>
    <row r="237" spans="2:15" x14ac:dyDescent="0.25">
      <c r="B237" s="11"/>
      <c r="C237" s="185"/>
      <c r="D237" s="185"/>
      <c r="E237" s="185"/>
      <c r="F237" s="185"/>
      <c r="G237" s="14"/>
      <c r="H237" s="14"/>
      <c r="J237" s="7"/>
      <c r="K237" s="7"/>
      <c r="O237" s="98"/>
    </row>
    <row r="238" spans="2:15" x14ac:dyDescent="0.25">
      <c r="B238" s="1" t="s">
        <v>660</v>
      </c>
      <c r="C238" s="296" t="s">
        <v>486</v>
      </c>
      <c r="D238" s="296"/>
      <c r="E238" s="296" t="s">
        <v>508</v>
      </c>
      <c r="F238" s="296"/>
      <c r="G238" s="14"/>
      <c r="J238" s="7"/>
      <c r="K238" s="7"/>
      <c r="O238" s="102">
        <v>5.5599999999999996E-4</v>
      </c>
    </row>
    <row r="239" spans="2:15" x14ac:dyDescent="0.25">
      <c r="B239" s="1"/>
      <c r="C239" s="1"/>
      <c r="D239" s="195"/>
      <c r="E239" s="1"/>
      <c r="F239" s="195"/>
      <c r="J239" s="7"/>
      <c r="K239" s="7"/>
      <c r="O239" s="98"/>
    </row>
    <row r="240" spans="2:15" x14ac:dyDescent="0.25">
      <c r="B240" s="11" t="s">
        <v>518</v>
      </c>
      <c r="C240" s="231" t="s">
        <v>657</v>
      </c>
      <c r="D240" s="231"/>
      <c r="E240" s="231" t="s">
        <v>744</v>
      </c>
      <c r="F240" s="231"/>
      <c r="J240" s="7"/>
      <c r="K240" s="7"/>
      <c r="O240" s="103">
        <v>1.5300000000000001E-4</v>
      </c>
    </row>
    <row r="241" spans="2:15" x14ac:dyDescent="0.25">
      <c r="B241" s="11"/>
      <c r="C241" s="11"/>
      <c r="D241" s="185"/>
      <c r="E241" s="11"/>
      <c r="F241" s="185"/>
      <c r="G241" s="14"/>
      <c r="H241" s="14"/>
      <c r="J241" s="7"/>
      <c r="K241" s="7"/>
      <c r="O241" s="98"/>
    </row>
    <row r="242" spans="2:15" x14ac:dyDescent="0.25">
      <c r="B242" s="1" t="s">
        <v>889</v>
      </c>
      <c r="C242" s="296" t="s">
        <v>1645</v>
      </c>
      <c r="D242" s="296"/>
      <c r="E242" s="296" t="s">
        <v>486</v>
      </c>
      <c r="F242" s="296"/>
      <c r="G242" s="14"/>
      <c r="H242" s="14"/>
      <c r="J242" s="7"/>
      <c r="K242" s="7"/>
      <c r="O242" s="102">
        <v>1.39E-3</v>
      </c>
    </row>
    <row r="243" spans="2:15" x14ac:dyDescent="0.25">
      <c r="B243" s="1"/>
      <c r="C243" s="1"/>
      <c r="D243" s="195"/>
      <c r="E243" s="1"/>
      <c r="F243" s="195"/>
      <c r="G243" s="14"/>
      <c r="H243" s="14"/>
      <c r="J243" s="7"/>
      <c r="K243" s="7"/>
      <c r="O243" s="98"/>
    </row>
    <row r="244" spans="2:15" x14ac:dyDescent="0.25">
      <c r="B244" s="11" t="s">
        <v>1700</v>
      </c>
      <c r="C244" s="230" t="s">
        <v>508</v>
      </c>
      <c r="D244" s="230"/>
      <c r="E244" s="230" t="s">
        <v>392</v>
      </c>
      <c r="F244" s="230"/>
      <c r="G244" s="14"/>
      <c r="H244" s="14"/>
      <c r="J244" s="7"/>
      <c r="K244" s="7"/>
      <c r="O244" s="102">
        <v>3.0999999999999999E-3</v>
      </c>
    </row>
    <row r="245" spans="2:15" x14ac:dyDescent="0.25">
      <c r="B245" s="11"/>
      <c r="C245" s="185"/>
      <c r="D245" s="185"/>
      <c r="E245" s="185"/>
      <c r="F245" s="185"/>
      <c r="G245" s="14"/>
      <c r="H245" s="14"/>
      <c r="J245" s="7"/>
      <c r="K245" s="7"/>
      <c r="O245" s="98"/>
    </row>
    <row r="246" spans="2:15" x14ac:dyDescent="0.25">
      <c r="B246" s="1" t="s">
        <v>2443</v>
      </c>
      <c r="C246" s="283" t="s">
        <v>516</v>
      </c>
      <c r="D246" s="283"/>
      <c r="E246" s="283" t="s">
        <v>4117</v>
      </c>
      <c r="F246" s="283"/>
      <c r="G246" s="14"/>
      <c r="H246" s="14"/>
      <c r="J246" s="7"/>
      <c r="K246" s="7"/>
      <c r="O246" s="102">
        <v>4.4000000000000003E-3</v>
      </c>
    </row>
    <row r="247" spans="2:15" x14ac:dyDescent="0.25">
      <c r="B247" s="1"/>
      <c r="C247" s="195"/>
      <c r="D247" s="195"/>
      <c r="E247" s="195"/>
      <c r="F247" s="195"/>
      <c r="G247" s="14"/>
      <c r="H247" s="14"/>
      <c r="J247" s="7"/>
      <c r="K247" s="7"/>
      <c r="O247" s="98"/>
    </row>
    <row r="248" spans="2:15" x14ac:dyDescent="0.25">
      <c r="B248" s="11" t="s">
        <v>2446</v>
      </c>
      <c r="C248" s="231" t="s">
        <v>516</v>
      </c>
      <c r="D248" s="231"/>
      <c r="E248" s="231" t="s">
        <v>4117</v>
      </c>
      <c r="F248" s="231"/>
      <c r="G248" s="14"/>
      <c r="H248" s="14"/>
      <c r="J248" s="7"/>
      <c r="K248" s="7"/>
      <c r="O248" s="102">
        <v>4.3E-3</v>
      </c>
    </row>
    <row r="249" spans="2:15" x14ac:dyDescent="0.25">
      <c r="B249" s="11"/>
      <c r="C249" s="11"/>
      <c r="D249" s="185"/>
      <c r="E249" s="11"/>
      <c r="F249" s="185"/>
      <c r="G249" s="14"/>
      <c r="H249" s="14"/>
      <c r="J249" s="7"/>
      <c r="K249" s="7"/>
      <c r="O249" s="98"/>
    </row>
    <row r="250" spans="2:15" x14ac:dyDescent="0.25">
      <c r="B250" s="1" t="s">
        <v>2449</v>
      </c>
      <c r="C250" s="283" t="s">
        <v>1645</v>
      </c>
      <c r="D250" s="283"/>
      <c r="E250" s="283" t="s">
        <v>486</v>
      </c>
      <c r="F250" s="283"/>
      <c r="G250" s="14"/>
      <c r="H250" s="14"/>
      <c r="J250" s="7"/>
      <c r="K250" s="7"/>
      <c r="O250" s="98">
        <v>9.5999999999999992E-3</v>
      </c>
    </row>
    <row r="251" spans="2:15" x14ac:dyDescent="0.25">
      <c r="B251" s="1"/>
      <c r="C251" s="195"/>
      <c r="D251" s="195"/>
      <c r="E251" s="195"/>
      <c r="F251" s="195"/>
      <c r="G251" s="14"/>
      <c r="H251" s="14"/>
      <c r="J251" s="7"/>
      <c r="K251" s="7"/>
      <c r="O251" s="98"/>
    </row>
    <row r="252" spans="2:15" x14ac:dyDescent="0.25">
      <c r="B252" s="11" t="s">
        <v>2452</v>
      </c>
      <c r="C252" s="231" t="s">
        <v>2062</v>
      </c>
      <c r="D252" s="231"/>
      <c r="E252" s="231" t="s">
        <v>516</v>
      </c>
      <c r="F252" s="231"/>
      <c r="G252" s="14"/>
      <c r="H252" s="14"/>
      <c r="J252" s="7"/>
      <c r="K252" s="7"/>
      <c r="O252" s="105">
        <v>1.4E-3</v>
      </c>
    </row>
    <row r="253" spans="2:15" ht="15.75" thickBot="1" x14ac:dyDescent="0.3">
      <c r="B253" s="11"/>
      <c r="C253" s="11"/>
      <c r="D253" s="11"/>
      <c r="E253" s="11"/>
      <c r="F253" s="11"/>
      <c r="G253" s="14"/>
      <c r="H253" s="14"/>
      <c r="J253" s="7"/>
      <c r="K253" s="7"/>
      <c r="O253" s="98"/>
    </row>
    <row r="254" spans="2:15" x14ac:dyDescent="0.25">
      <c r="B254" s="217" t="s">
        <v>401</v>
      </c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9"/>
      <c r="O254" s="100">
        <f>SUM(O232:O252)</f>
        <v>9.2099E-2</v>
      </c>
    </row>
    <row r="255" spans="2:15" x14ac:dyDescent="0.25">
      <c r="B255" s="3" t="s">
        <v>402</v>
      </c>
      <c r="C255" s="232" t="s">
        <v>403</v>
      </c>
      <c r="D255" s="232"/>
      <c r="E255" s="232" t="s">
        <v>467</v>
      </c>
      <c r="F255" s="232"/>
      <c r="G255" s="232" t="s">
        <v>405</v>
      </c>
      <c r="H255" s="232"/>
      <c r="I255" s="232" t="s">
        <v>406</v>
      </c>
      <c r="J255" s="232"/>
      <c r="K255" s="234" t="s">
        <v>468</v>
      </c>
      <c r="L255" s="235"/>
      <c r="M255" s="236"/>
      <c r="O255" s="98"/>
    </row>
    <row r="256" spans="2:15" ht="15.75" thickBot="1" x14ac:dyDescent="0.3">
      <c r="B256" s="5"/>
      <c r="C256" s="237"/>
      <c r="D256" s="238"/>
      <c r="E256" s="239"/>
      <c r="F256" s="238"/>
      <c r="G256" s="240"/>
      <c r="H256" s="240"/>
      <c r="I256" s="241"/>
      <c r="J256" s="241"/>
      <c r="K256" s="242"/>
      <c r="L256" s="243"/>
      <c r="M256" s="244"/>
    </row>
    <row r="257" spans="2:13" ht="15.75" thickBot="1" x14ac:dyDescent="0.3">
      <c r="B257" s="1"/>
      <c r="C257" s="1"/>
      <c r="D257" s="1"/>
      <c r="E257" s="1"/>
      <c r="F257" s="1"/>
      <c r="G257" s="1"/>
      <c r="H257" s="1"/>
    </row>
    <row r="258" spans="2:13" x14ac:dyDescent="0.25">
      <c r="B258" s="217" t="s">
        <v>408</v>
      </c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9"/>
    </row>
    <row r="259" spans="2:13" x14ac:dyDescent="0.25">
      <c r="B259" s="3" t="s">
        <v>5956</v>
      </c>
      <c r="C259" s="268" t="s">
        <v>5957</v>
      </c>
      <c r="D259" s="268"/>
      <c r="E259" s="233" t="s">
        <v>3162</v>
      </c>
      <c r="F259" s="233"/>
      <c r="G259" s="233" t="s">
        <v>5958</v>
      </c>
      <c r="H259" s="233"/>
      <c r="I259" s="233" t="s">
        <v>692</v>
      </c>
      <c r="J259" s="233"/>
      <c r="K259" s="232" t="s">
        <v>5959</v>
      </c>
      <c r="L259" s="232"/>
      <c r="M259" s="269"/>
    </row>
    <row r="260" spans="2:13" ht="15.75" thickBot="1" x14ac:dyDescent="0.3">
      <c r="B260" s="5" t="s">
        <v>3866</v>
      </c>
      <c r="C260" s="240" t="s">
        <v>5960</v>
      </c>
      <c r="D260" s="240"/>
      <c r="E260" s="388" t="s">
        <v>567</v>
      </c>
      <c r="F260" s="388"/>
      <c r="G260" s="388" t="s">
        <v>569</v>
      </c>
      <c r="H260" s="388"/>
      <c r="I260" s="388" t="s">
        <v>5691</v>
      </c>
      <c r="J260" s="388"/>
      <c r="K260" s="240" t="s">
        <v>2257</v>
      </c>
      <c r="L260" s="240"/>
      <c r="M260" s="267"/>
    </row>
    <row r="262" spans="2:13" ht="23.25" x14ac:dyDescent="0.35">
      <c r="B262" s="29" t="s">
        <v>334</v>
      </c>
      <c r="C262" s="229" t="s">
        <v>255</v>
      </c>
      <c r="D262" s="229"/>
      <c r="E262" s="229"/>
      <c r="F262" s="229"/>
      <c r="G262" s="229"/>
      <c r="H262" s="229"/>
      <c r="I262" s="229"/>
      <c r="J262" s="229"/>
      <c r="K262" s="229"/>
      <c r="L262" s="229"/>
    </row>
    <row r="263" spans="2:13" ht="18.75" x14ac:dyDescent="0.3">
      <c r="B263" s="12" t="s">
        <v>335</v>
      </c>
      <c r="C263" s="195" t="s">
        <v>5835</v>
      </c>
      <c r="D263" s="228" t="s">
        <v>427</v>
      </c>
      <c r="E263" s="228"/>
      <c r="F263" s="1" t="s">
        <v>4369</v>
      </c>
      <c r="L263" s="12" t="s">
        <v>339</v>
      </c>
      <c r="M263" s="6" t="s">
        <v>5961</v>
      </c>
    </row>
    <row r="265" spans="2:13" x14ac:dyDescent="0.25">
      <c r="B265" s="2" t="s">
        <v>341</v>
      </c>
      <c r="C265" s="250" t="s">
        <v>5962</v>
      </c>
      <c r="D265" s="250"/>
      <c r="E265" s="228" t="s">
        <v>345</v>
      </c>
      <c r="F265" s="228"/>
      <c r="G265" s="228"/>
      <c r="H265" s="228"/>
      <c r="I265" s="228"/>
    </row>
    <row r="266" spans="2:13" x14ac:dyDescent="0.25">
      <c r="C266" s="251"/>
      <c r="D266" s="251"/>
      <c r="G266" s="7"/>
      <c r="H266" s="7"/>
      <c r="I266" s="7"/>
    </row>
    <row r="267" spans="2:13" x14ac:dyDescent="0.25">
      <c r="B267" s="11" t="s">
        <v>1458</v>
      </c>
      <c r="C267" s="231" t="s">
        <v>508</v>
      </c>
      <c r="D267" s="231"/>
      <c r="E267" s="14" t="s">
        <v>5963</v>
      </c>
      <c r="H267" s="7"/>
      <c r="I267" s="7"/>
    </row>
    <row r="268" spans="2:13" x14ac:dyDescent="0.25">
      <c r="B268" s="11"/>
      <c r="C268" s="11"/>
      <c r="D268" s="185"/>
      <c r="E268" s="14"/>
      <c r="H268" s="7"/>
      <c r="I268" s="7"/>
    </row>
    <row r="269" spans="2:13" x14ac:dyDescent="0.25">
      <c r="B269" s="1" t="s">
        <v>1122</v>
      </c>
      <c r="C269" s="296" t="s">
        <v>744</v>
      </c>
      <c r="D269" s="296"/>
      <c r="E269" s="14"/>
      <c r="H269" s="7"/>
      <c r="I269" s="7"/>
    </row>
    <row r="270" spans="2:13" x14ac:dyDescent="0.25">
      <c r="B270" s="1"/>
      <c r="C270" s="195"/>
      <c r="D270" s="195"/>
      <c r="E270" s="14"/>
      <c r="F270" s="14"/>
      <c r="H270" s="7"/>
      <c r="I270" s="7"/>
    </row>
    <row r="271" spans="2:13" x14ac:dyDescent="0.25">
      <c r="B271" s="11" t="s">
        <v>2030</v>
      </c>
      <c r="C271" s="231" t="s">
        <v>880</v>
      </c>
      <c r="D271" s="231"/>
      <c r="E271" s="15"/>
      <c r="F271" s="14"/>
      <c r="G271" s="14"/>
      <c r="H271" s="7"/>
      <c r="I271" s="7"/>
    </row>
    <row r="272" spans="2:13" x14ac:dyDescent="0.25">
      <c r="B272" s="11"/>
      <c r="C272" s="185"/>
      <c r="D272" s="185"/>
      <c r="E272" s="14"/>
      <c r="F272" s="14"/>
      <c r="H272" s="7"/>
      <c r="I272" s="7"/>
    </row>
    <row r="273" spans="2:15" x14ac:dyDescent="0.25">
      <c r="B273" s="1" t="s">
        <v>5949</v>
      </c>
      <c r="C273" s="296" t="s">
        <v>1645</v>
      </c>
      <c r="D273" s="296"/>
      <c r="E273" s="14"/>
      <c r="H273" s="7"/>
      <c r="I273" s="7"/>
    </row>
    <row r="274" spans="2:15" x14ac:dyDescent="0.25">
      <c r="B274" s="1"/>
      <c r="C274" s="1"/>
      <c r="D274" s="195"/>
      <c r="H274" s="7"/>
      <c r="I274" s="7"/>
    </row>
    <row r="275" spans="2:15" x14ac:dyDescent="0.25">
      <c r="B275" s="11" t="s">
        <v>1046</v>
      </c>
      <c r="C275" s="231" t="s">
        <v>2062</v>
      </c>
      <c r="D275" s="231"/>
      <c r="H275" s="7"/>
      <c r="I275" s="7"/>
    </row>
    <row r="276" spans="2:15" ht="15.75" thickBot="1" x14ac:dyDescent="0.3">
      <c r="B276" s="11"/>
      <c r="C276" s="11"/>
      <c r="D276" s="185"/>
      <c r="E276" s="14"/>
      <c r="F276" s="14"/>
      <c r="H276" s="7"/>
      <c r="I276" s="7"/>
    </row>
    <row r="277" spans="2:15" x14ac:dyDescent="0.25">
      <c r="B277" s="217" t="s">
        <v>401</v>
      </c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9"/>
    </row>
    <row r="278" spans="2:15" x14ac:dyDescent="0.25">
      <c r="B278" s="3" t="s">
        <v>402</v>
      </c>
      <c r="C278" s="232" t="s">
        <v>403</v>
      </c>
      <c r="D278" s="232"/>
      <c r="E278" s="232" t="s">
        <v>467</v>
      </c>
      <c r="F278" s="232"/>
      <c r="G278" s="232" t="s">
        <v>405</v>
      </c>
      <c r="H278" s="232"/>
      <c r="I278" s="232" t="s">
        <v>406</v>
      </c>
      <c r="J278" s="232"/>
      <c r="K278" s="234" t="s">
        <v>468</v>
      </c>
      <c r="L278" s="235"/>
      <c r="M278" s="236"/>
    </row>
    <row r="279" spans="2:15" ht="15.75" thickBot="1" x14ac:dyDescent="0.3">
      <c r="B279" s="5"/>
      <c r="C279" s="237"/>
      <c r="D279" s="238"/>
      <c r="E279" s="239"/>
      <c r="F279" s="238"/>
      <c r="G279" s="240"/>
      <c r="H279" s="240"/>
      <c r="I279" s="241"/>
      <c r="J279" s="241"/>
      <c r="K279" s="242"/>
      <c r="L279" s="243"/>
      <c r="M279" s="244"/>
    </row>
    <row r="280" spans="2:15" ht="15.75" thickBot="1" x14ac:dyDescent="0.3">
      <c r="B280" s="1"/>
      <c r="C280" s="1"/>
      <c r="D280" s="1"/>
      <c r="E280" s="1"/>
      <c r="F280" s="1"/>
      <c r="G280" s="1"/>
      <c r="H280" s="1"/>
    </row>
    <row r="281" spans="2:15" x14ac:dyDescent="0.25">
      <c r="B281" s="217" t="s">
        <v>408</v>
      </c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9"/>
    </row>
    <row r="282" spans="2:15" x14ac:dyDescent="0.25">
      <c r="B282" s="3" t="s">
        <v>5964</v>
      </c>
      <c r="C282" s="268" t="s">
        <v>5965</v>
      </c>
      <c r="D282" s="268"/>
      <c r="E282" s="233" t="s">
        <v>5966</v>
      </c>
      <c r="F282" s="233"/>
      <c r="G282" s="233" t="s">
        <v>5967</v>
      </c>
      <c r="H282" s="233"/>
      <c r="I282" s="233" t="s">
        <v>692</v>
      </c>
      <c r="J282" s="233"/>
      <c r="K282" s="232" t="s">
        <v>5968</v>
      </c>
      <c r="L282" s="232"/>
      <c r="M282" s="269"/>
    </row>
    <row r="283" spans="2:15" ht="15.75" thickBot="1" x14ac:dyDescent="0.3">
      <c r="B283" s="5" t="s">
        <v>2352</v>
      </c>
      <c r="C283" s="240" t="s">
        <v>5969</v>
      </c>
      <c r="D283" s="240"/>
      <c r="E283" s="388" t="s">
        <v>567</v>
      </c>
      <c r="F283" s="388"/>
      <c r="G283" s="388" t="s">
        <v>569</v>
      </c>
      <c r="H283" s="388"/>
      <c r="I283" s="388" t="s">
        <v>697</v>
      </c>
      <c r="J283" s="388"/>
      <c r="K283" s="240" t="s">
        <v>2257</v>
      </c>
      <c r="L283" s="240"/>
      <c r="M283" s="267"/>
    </row>
    <row r="285" spans="2:15" ht="23.25" x14ac:dyDescent="0.35">
      <c r="B285" s="29" t="s">
        <v>334</v>
      </c>
      <c r="C285" s="229" t="s">
        <v>259</v>
      </c>
      <c r="D285" s="229"/>
      <c r="E285" s="229"/>
      <c r="F285" s="229"/>
      <c r="G285" s="229"/>
      <c r="H285" s="229"/>
      <c r="I285" s="229"/>
      <c r="J285" s="229"/>
    </row>
    <row r="286" spans="2:15" ht="18.75" x14ac:dyDescent="0.3">
      <c r="B286" s="12" t="s">
        <v>335</v>
      </c>
      <c r="C286" s="195" t="s">
        <v>5835</v>
      </c>
      <c r="D286" s="228" t="s">
        <v>427</v>
      </c>
      <c r="E286" s="228"/>
      <c r="F286" s="1" t="s">
        <v>5836</v>
      </c>
      <c r="L286" s="12" t="s">
        <v>339</v>
      </c>
      <c r="M286" s="6" t="s">
        <v>5970</v>
      </c>
    </row>
    <row r="288" spans="2:15" x14ac:dyDescent="0.25">
      <c r="B288" s="2" t="s">
        <v>341</v>
      </c>
      <c r="C288" s="250" t="s">
        <v>5971</v>
      </c>
      <c r="D288" s="250"/>
      <c r="E288" s="228" t="s">
        <v>345</v>
      </c>
      <c r="F288" s="228"/>
      <c r="G288" s="228"/>
      <c r="H288" s="228"/>
      <c r="I288" s="228"/>
      <c r="O288" s="101" t="s">
        <v>1262</v>
      </c>
    </row>
    <row r="289" spans="2:15" x14ac:dyDescent="0.25">
      <c r="C289" s="251"/>
      <c r="D289" s="251"/>
      <c r="G289" s="7"/>
      <c r="H289" s="7"/>
      <c r="I289" s="7"/>
    </row>
    <row r="290" spans="2:15" x14ac:dyDescent="0.25">
      <c r="B290" s="11" t="s">
        <v>5904</v>
      </c>
      <c r="C290" s="231" t="s">
        <v>789</v>
      </c>
      <c r="D290" s="231"/>
      <c r="E290" s="14" t="s">
        <v>5972</v>
      </c>
      <c r="H290" s="7"/>
      <c r="I290" s="7"/>
      <c r="O290" s="98">
        <v>1.2E-2</v>
      </c>
    </row>
    <row r="291" spans="2:15" x14ac:dyDescent="0.25">
      <c r="B291" s="11"/>
      <c r="C291" s="11"/>
      <c r="D291" s="185"/>
      <c r="E291" s="14" t="s">
        <v>5973</v>
      </c>
      <c r="H291" s="7"/>
      <c r="I291" s="7"/>
      <c r="O291" s="98"/>
    </row>
    <row r="292" spans="2:15" x14ac:dyDescent="0.25">
      <c r="B292" s="1" t="s">
        <v>1122</v>
      </c>
      <c r="C292" s="296" t="s">
        <v>789</v>
      </c>
      <c r="D292" s="296"/>
      <c r="E292" s="14" t="s">
        <v>5974</v>
      </c>
      <c r="H292" s="7"/>
      <c r="I292" s="7"/>
      <c r="O292" s="98">
        <v>2.5000000000000001E-2</v>
      </c>
    </row>
    <row r="293" spans="2:15" x14ac:dyDescent="0.25">
      <c r="B293" s="1"/>
      <c r="C293" s="195"/>
      <c r="D293" s="195"/>
      <c r="E293" s="14"/>
      <c r="F293" s="14"/>
      <c r="H293" s="7"/>
      <c r="I293" s="7"/>
      <c r="O293" s="98"/>
    </row>
    <row r="294" spans="2:15" x14ac:dyDescent="0.25">
      <c r="B294" s="11" t="s">
        <v>5975</v>
      </c>
      <c r="C294" s="231" t="s">
        <v>514</v>
      </c>
      <c r="D294" s="231"/>
      <c r="E294" s="15"/>
      <c r="F294" s="14"/>
      <c r="G294" s="14"/>
      <c r="H294" s="7"/>
      <c r="I294" s="7"/>
      <c r="O294" s="102">
        <v>1.3699999999999999E-3</v>
      </c>
    </row>
    <row r="295" spans="2:15" x14ac:dyDescent="0.25">
      <c r="B295" s="11"/>
      <c r="C295" s="185"/>
      <c r="D295" s="185"/>
      <c r="E295" s="14"/>
      <c r="F295" s="14"/>
      <c r="H295" s="7"/>
      <c r="I295" s="7"/>
      <c r="O295" s="98"/>
    </row>
    <row r="296" spans="2:15" x14ac:dyDescent="0.25">
      <c r="B296" s="1" t="s">
        <v>5976</v>
      </c>
      <c r="C296" s="296" t="s">
        <v>517</v>
      </c>
      <c r="D296" s="296"/>
      <c r="E296" s="14"/>
      <c r="H296" s="7"/>
      <c r="I296" s="7"/>
      <c r="O296" s="102">
        <v>3.3249999999999998E-3</v>
      </c>
    </row>
    <row r="297" spans="2:15" x14ac:dyDescent="0.25">
      <c r="B297" s="1"/>
      <c r="C297" s="1"/>
      <c r="D297" s="195"/>
      <c r="H297" s="7"/>
      <c r="I297" s="7"/>
      <c r="O297" s="98"/>
    </row>
    <row r="298" spans="2:15" x14ac:dyDescent="0.25">
      <c r="B298" s="11" t="s">
        <v>518</v>
      </c>
      <c r="C298" s="231" t="s">
        <v>513</v>
      </c>
      <c r="D298" s="231"/>
      <c r="H298" s="7"/>
      <c r="I298" s="7"/>
      <c r="O298" s="103">
        <v>1.36E-4</v>
      </c>
    </row>
    <row r="299" spans="2:15" x14ac:dyDescent="0.25">
      <c r="B299" s="11"/>
      <c r="C299" s="11"/>
      <c r="D299" s="185"/>
      <c r="E299" s="14"/>
      <c r="F299" s="14"/>
      <c r="H299" s="7"/>
      <c r="I299" s="7"/>
      <c r="O299" s="98"/>
    </row>
    <row r="300" spans="2:15" x14ac:dyDescent="0.25">
      <c r="B300" s="1" t="s">
        <v>1966</v>
      </c>
      <c r="C300" s="296" t="s">
        <v>525</v>
      </c>
      <c r="D300" s="296"/>
      <c r="E300" s="14"/>
      <c r="F300" s="14"/>
      <c r="H300" s="7"/>
      <c r="I300" s="7"/>
      <c r="O300" s="102">
        <v>6.4999999999999997E-4</v>
      </c>
    </row>
    <row r="301" spans="2:15" x14ac:dyDescent="0.25">
      <c r="B301" s="1"/>
      <c r="C301" s="1"/>
      <c r="D301" s="195"/>
      <c r="E301" s="14"/>
      <c r="F301" s="14"/>
      <c r="H301" s="7"/>
      <c r="I301" s="7"/>
      <c r="O301" s="98"/>
    </row>
    <row r="302" spans="2:15" x14ac:dyDescent="0.25">
      <c r="B302" s="11" t="s">
        <v>5977</v>
      </c>
      <c r="C302" s="230" t="s">
        <v>487</v>
      </c>
      <c r="D302" s="230"/>
      <c r="E302" s="14"/>
      <c r="F302" s="14"/>
      <c r="H302" s="7"/>
      <c r="I302" s="7"/>
      <c r="O302" s="99">
        <v>1.0999999999999999E-2</v>
      </c>
    </row>
    <row r="303" spans="2:15" x14ac:dyDescent="0.25">
      <c r="B303" s="11"/>
      <c r="C303" s="185"/>
      <c r="D303" s="185"/>
      <c r="E303" s="14"/>
      <c r="F303" s="14"/>
      <c r="H303" s="7"/>
      <c r="I303" s="7"/>
      <c r="O303" s="98"/>
    </row>
    <row r="304" spans="2:15" x14ac:dyDescent="0.25">
      <c r="B304" s="217" t="s">
        <v>408</v>
      </c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9"/>
      <c r="O304" s="100">
        <f>SUM(O290:O302)</f>
        <v>5.3481000000000001E-2</v>
      </c>
    </row>
    <row r="305" spans="2:16" x14ac:dyDescent="0.25">
      <c r="B305" s="122" t="s">
        <v>5978</v>
      </c>
      <c r="C305" s="220" t="s">
        <v>5979</v>
      </c>
      <c r="D305" s="220"/>
      <c r="E305" s="221" t="s">
        <v>3115</v>
      </c>
      <c r="F305" s="221"/>
      <c r="G305" s="221" t="s">
        <v>692</v>
      </c>
      <c r="H305" s="221"/>
      <c r="I305" s="220" t="s">
        <v>5980</v>
      </c>
      <c r="J305" s="220"/>
      <c r="K305" s="220" t="s">
        <v>5981</v>
      </c>
      <c r="L305" s="220"/>
      <c r="M305" s="222"/>
    </row>
    <row r="306" spans="2:16" ht="15.75" customHeight="1" x14ac:dyDescent="0.25">
      <c r="B306" s="123" t="s">
        <v>1732</v>
      </c>
      <c r="C306" s="225" t="s">
        <v>5982</v>
      </c>
      <c r="D306" s="226"/>
      <c r="E306" s="223" t="s">
        <v>5983</v>
      </c>
      <c r="F306" s="223"/>
      <c r="G306" s="223" t="s">
        <v>5984</v>
      </c>
      <c r="H306" s="223"/>
      <c r="I306" s="227" t="s">
        <v>4599</v>
      </c>
      <c r="J306" s="227"/>
      <c r="K306" s="223" t="s">
        <v>5985</v>
      </c>
      <c r="L306" s="223"/>
      <c r="M306" s="224"/>
    </row>
    <row r="307" spans="2:16" ht="15.75" customHeight="1" x14ac:dyDescent="0.25">
      <c r="B307" s="123" t="s">
        <v>5986</v>
      </c>
      <c r="C307" s="225" t="s">
        <v>422</v>
      </c>
      <c r="D307" s="226"/>
      <c r="E307" s="227" t="s">
        <v>5987</v>
      </c>
      <c r="F307" s="227"/>
      <c r="G307" s="223" t="s">
        <v>1484</v>
      </c>
      <c r="H307" s="223"/>
      <c r="I307" s="223" t="s">
        <v>5988</v>
      </c>
      <c r="J307" s="223"/>
      <c r="K307" s="223" t="s">
        <v>2706</v>
      </c>
      <c r="L307" s="223"/>
      <c r="M307" s="224"/>
    </row>
    <row r="309" spans="2:16" ht="23.25" x14ac:dyDescent="0.35">
      <c r="B309" s="29" t="s">
        <v>334</v>
      </c>
      <c r="C309" s="229" t="s">
        <v>272</v>
      </c>
      <c r="D309" s="229"/>
      <c r="E309" s="229"/>
      <c r="F309" s="229"/>
      <c r="G309" s="229"/>
      <c r="H309" s="229"/>
      <c r="I309" s="229"/>
      <c r="J309" s="229"/>
    </row>
    <row r="310" spans="2:16" ht="18.75" x14ac:dyDescent="0.3">
      <c r="B310" s="12" t="s">
        <v>335</v>
      </c>
      <c r="C310" s="195" t="s">
        <v>5835</v>
      </c>
      <c r="D310" s="228" t="s">
        <v>427</v>
      </c>
      <c r="E310" s="228"/>
      <c r="F310" s="1" t="s">
        <v>5836</v>
      </c>
      <c r="L310" s="12" t="s">
        <v>339</v>
      </c>
      <c r="M310" s="6" t="s">
        <v>271</v>
      </c>
    </row>
    <row r="312" spans="2:16" x14ac:dyDescent="0.25">
      <c r="B312" s="2" t="s">
        <v>341</v>
      </c>
      <c r="C312" s="250" t="s">
        <v>5989</v>
      </c>
      <c r="D312" s="250"/>
      <c r="E312" s="250" t="s">
        <v>5990</v>
      </c>
      <c r="F312" s="250"/>
      <c r="G312" s="250" t="s">
        <v>5991</v>
      </c>
      <c r="H312" s="250"/>
      <c r="I312" s="228" t="s">
        <v>345</v>
      </c>
      <c r="J312" s="228"/>
      <c r="K312" s="228"/>
      <c r="L312" s="228"/>
      <c r="M312" s="228"/>
      <c r="O312" s="101" t="s">
        <v>1262</v>
      </c>
    </row>
    <row r="313" spans="2:16" x14ac:dyDescent="0.25">
      <c r="C313" s="1"/>
      <c r="D313" s="1"/>
      <c r="E313" s="1"/>
      <c r="F313" s="1"/>
      <c r="G313" s="1"/>
      <c r="H313" s="1"/>
      <c r="N313" s="7"/>
      <c r="O313" s="7"/>
      <c r="P313" s="7"/>
    </row>
    <row r="314" spans="2:16" x14ac:dyDescent="0.25">
      <c r="B314" s="11" t="s">
        <v>5607</v>
      </c>
      <c r="C314" s="231" t="s">
        <v>368</v>
      </c>
      <c r="D314" s="231"/>
      <c r="E314" s="231" t="s">
        <v>2718</v>
      </c>
      <c r="F314" s="231"/>
      <c r="G314" s="231" t="s">
        <v>5992</v>
      </c>
      <c r="H314" s="231"/>
      <c r="I314" s="14" t="s">
        <v>5993</v>
      </c>
      <c r="L314" s="14"/>
      <c r="O314" s="115" t="s">
        <v>5994</v>
      </c>
      <c r="P314" s="7"/>
    </row>
    <row r="315" spans="2:16" x14ac:dyDescent="0.25">
      <c r="B315" s="11"/>
      <c r="C315" s="11"/>
      <c r="D315" s="185"/>
      <c r="E315" s="11"/>
      <c r="F315" s="185"/>
      <c r="G315" s="11"/>
      <c r="H315" s="185"/>
      <c r="I315" s="14" t="s">
        <v>5995</v>
      </c>
      <c r="L315" s="14"/>
      <c r="O315" s="116"/>
      <c r="P315" s="7"/>
    </row>
    <row r="316" spans="2:16" x14ac:dyDescent="0.25">
      <c r="B316" s="1" t="s">
        <v>1122</v>
      </c>
      <c r="C316" s="296" t="s">
        <v>5996</v>
      </c>
      <c r="D316" s="296"/>
      <c r="E316" s="296" t="s">
        <v>5997</v>
      </c>
      <c r="F316" s="296"/>
      <c r="G316" s="296" t="s">
        <v>5998</v>
      </c>
      <c r="H316" s="296"/>
      <c r="I316" s="14" t="s">
        <v>5999</v>
      </c>
      <c r="L316" s="14"/>
      <c r="O316" s="115" t="s">
        <v>6000</v>
      </c>
      <c r="P316" s="7"/>
    </row>
    <row r="317" spans="2:16" x14ac:dyDescent="0.25">
      <c r="B317" s="1"/>
      <c r="C317" s="195"/>
      <c r="D317" s="195"/>
      <c r="E317" s="195"/>
      <c r="F317" s="195"/>
      <c r="G317" s="195"/>
      <c r="H317" s="195"/>
      <c r="I317" s="14" t="s">
        <v>6001</v>
      </c>
      <c r="L317" s="14"/>
      <c r="M317" s="14"/>
      <c r="O317" s="116"/>
      <c r="P317" s="7"/>
    </row>
    <row r="318" spans="2:16" x14ac:dyDescent="0.25">
      <c r="B318" s="11" t="s">
        <v>2645</v>
      </c>
      <c r="C318" s="231" t="s">
        <v>6002</v>
      </c>
      <c r="D318" s="231"/>
      <c r="E318" s="231" t="s">
        <v>6003</v>
      </c>
      <c r="F318" s="231"/>
      <c r="G318" s="231" t="s">
        <v>6004</v>
      </c>
      <c r="H318" s="231"/>
      <c r="I318" s="14" t="s">
        <v>6005</v>
      </c>
      <c r="L318" s="15"/>
      <c r="M318" s="14"/>
      <c r="N318" s="14"/>
      <c r="O318" s="110" t="s">
        <v>6006</v>
      </c>
      <c r="P318" s="7"/>
    </row>
    <row r="319" spans="2:16" x14ac:dyDescent="0.25">
      <c r="B319" s="11"/>
      <c r="C319" s="185"/>
      <c r="D319" s="185"/>
      <c r="E319" s="185"/>
      <c r="F319" s="185"/>
      <c r="G319" s="185"/>
      <c r="H319" s="185"/>
      <c r="I319" s="14" t="s">
        <v>6007</v>
      </c>
      <c r="J319" s="14"/>
      <c r="K319" s="7"/>
      <c r="O319" s="98"/>
    </row>
    <row r="320" spans="2:16" x14ac:dyDescent="0.25">
      <c r="B320" s="1" t="s">
        <v>6008</v>
      </c>
      <c r="C320" s="296" t="s">
        <v>786</v>
      </c>
      <c r="D320" s="296"/>
      <c r="E320" s="296" t="s">
        <v>383</v>
      </c>
      <c r="F320" s="296"/>
      <c r="G320" s="296" t="s">
        <v>1019</v>
      </c>
      <c r="H320" s="296"/>
      <c r="I320" s="14" t="s">
        <v>6009</v>
      </c>
      <c r="K320" s="7"/>
      <c r="O320" s="98">
        <v>6.6874999999999999E-3</v>
      </c>
    </row>
    <row r="321" spans="2:15" x14ac:dyDescent="0.25">
      <c r="B321" s="1"/>
      <c r="C321" s="1"/>
      <c r="D321" s="195"/>
      <c r="E321" s="1"/>
      <c r="F321" s="195"/>
      <c r="G321" s="1"/>
      <c r="H321" s="195"/>
      <c r="I321" s="14" t="s">
        <v>3191</v>
      </c>
      <c r="K321" s="7"/>
      <c r="O321" s="98"/>
    </row>
    <row r="322" spans="2:15" x14ac:dyDescent="0.25">
      <c r="B322" s="11" t="s">
        <v>5884</v>
      </c>
      <c r="C322" s="231" t="s">
        <v>6010</v>
      </c>
      <c r="D322" s="231"/>
      <c r="E322" s="231" t="s">
        <v>6011</v>
      </c>
      <c r="F322" s="231"/>
      <c r="G322" s="231" t="s">
        <v>6012</v>
      </c>
      <c r="H322" s="231"/>
      <c r="I322" s="15" t="s">
        <v>2576</v>
      </c>
      <c r="K322" s="7"/>
      <c r="O322" s="98">
        <v>1.5949999999999999E-2</v>
      </c>
    </row>
    <row r="323" spans="2:15" x14ac:dyDescent="0.25">
      <c r="B323" s="11"/>
      <c r="C323" s="11"/>
      <c r="D323" s="185"/>
      <c r="E323" s="11"/>
      <c r="F323" s="185"/>
      <c r="G323" s="11"/>
      <c r="H323" s="185"/>
      <c r="I323" s="14" t="s">
        <v>6013</v>
      </c>
      <c r="K323" s="7"/>
      <c r="O323" s="98"/>
    </row>
    <row r="324" spans="2:15" x14ac:dyDescent="0.25">
      <c r="B324" s="1" t="s">
        <v>1224</v>
      </c>
      <c r="C324" s="296" t="s">
        <v>678</v>
      </c>
      <c r="D324" s="296"/>
      <c r="E324" s="296" t="s">
        <v>524</v>
      </c>
      <c r="F324" s="296"/>
      <c r="G324" s="296" t="s">
        <v>373</v>
      </c>
      <c r="H324" s="296"/>
      <c r="I324" s="14" t="s">
        <v>6014</v>
      </c>
      <c r="J324" s="14"/>
      <c r="K324" s="7"/>
      <c r="O324" s="98">
        <v>5.1200000000000004E-3</v>
      </c>
    </row>
    <row r="325" spans="2:15" x14ac:dyDescent="0.25">
      <c r="B325" s="1"/>
      <c r="C325" s="1"/>
      <c r="D325" s="195"/>
      <c r="E325" s="1"/>
      <c r="F325" s="195"/>
      <c r="G325" s="1"/>
      <c r="H325" s="195"/>
      <c r="I325" s="14" t="s">
        <v>1665</v>
      </c>
      <c r="J325" s="14"/>
      <c r="K325" s="7"/>
      <c r="O325" s="98"/>
    </row>
    <row r="326" spans="2:15" x14ac:dyDescent="0.25">
      <c r="B326" s="11" t="s">
        <v>889</v>
      </c>
      <c r="C326" s="230" t="s">
        <v>891</v>
      </c>
      <c r="D326" s="230"/>
      <c r="E326" s="230" t="s">
        <v>1026</v>
      </c>
      <c r="F326" s="230"/>
      <c r="G326" s="230" t="s">
        <v>6015</v>
      </c>
      <c r="H326" s="230"/>
      <c r="I326" s="14" t="s">
        <v>6016</v>
      </c>
      <c r="K326" s="7"/>
      <c r="O326" s="102">
        <v>3.5999999999999999E-3</v>
      </c>
    </row>
    <row r="327" spans="2:15" x14ac:dyDescent="0.25">
      <c r="B327" s="11"/>
      <c r="C327" s="185"/>
      <c r="D327" s="185"/>
      <c r="E327" s="185"/>
      <c r="F327" s="185"/>
      <c r="G327" s="185"/>
      <c r="H327" s="185"/>
      <c r="I327" s="14"/>
      <c r="K327" s="7"/>
      <c r="O327" s="98"/>
    </row>
    <row r="328" spans="2:15" x14ac:dyDescent="0.25">
      <c r="B328" s="1" t="s">
        <v>1046</v>
      </c>
      <c r="C328" s="283" t="s">
        <v>1295</v>
      </c>
      <c r="D328" s="283"/>
      <c r="E328" s="283" t="s">
        <v>1127</v>
      </c>
      <c r="F328" s="283"/>
      <c r="G328" s="283" t="s">
        <v>880</v>
      </c>
      <c r="H328" s="283"/>
      <c r="I328" s="14"/>
      <c r="K328" s="7"/>
      <c r="O328" s="103">
        <v>1.19988E-4</v>
      </c>
    </row>
    <row r="329" spans="2:15" x14ac:dyDescent="0.25">
      <c r="B329" s="1"/>
      <c r="C329" s="195"/>
      <c r="D329" s="195"/>
      <c r="E329" s="195"/>
      <c r="F329" s="195"/>
      <c r="G329" s="195"/>
      <c r="H329" s="195"/>
      <c r="J329" s="7"/>
      <c r="K329" s="7"/>
      <c r="O329" s="98"/>
    </row>
    <row r="330" spans="2:15" x14ac:dyDescent="0.25">
      <c r="B330" s="11" t="s">
        <v>6017</v>
      </c>
      <c r="C330" s="231" t="s">
        <v>1127</v>
      </c>
      <c r="D330" s="231"/>
      <c r="E330" s="231" t="s">
        <v>880</v>
      </c>
      <c r="F330" s="231"/>
      <c r="G330" s="231" t="s">
        <v>491</v>
      </c>
      <c r="H330" s="231"/>
      <c r="J330" s="7"/>
      <c r="K330" s="7"/>
      <c r="O330" s="98">
        <v>5.0000000000000001E-3</v>
      </c>
    </row>
    <row r="331" spans="2:15" x14ac:dyDescent="0.25">
      <c r="B331" s="11"/>
      <c r="C331" s="11"/>
      <c r="D331" s="185"/>
      <c r="E331" s="11"/>
      <c r="F331" s="185"/>
      <c r="G331" s="11"/>
      <c r="H331" s="185"/>
      <c r="J331" s="7"/>
      <c r="K331" s="7"/>
      <c r="O331" s="98"/>
    </row>
    <row r="332" spans="2:15" x14ac:dyDescent="0.25">
      <c r="B332" s="1" t="s">
        <v>2938</v>
      </c>
      <c r="C332" s="283" t="s">
        <v>891</v>
      </c>
      <c r="D332" s="283"/>
      <c r="E332" s="283" t="s">
        <v>1026</v>
      </c>
      <c r="F332" s="283"/>
      <c r="G332" s="283" t="s">
        <v>6015</v>
      </c>
      <c r="H332" s="283"/>
      <c r="J332" s="7"/>
      <c r="K332" s="7"/>
      <c r="O332" s="102">
        <v>2.8999999999999998E-3</v>
      </c>
    </row>
    <row r="333" spans="2:15" x14ac:dyDescent="0.25">
      <c r="B333" s="1"/>
      <c r="C333" s="195"/>
      <c r="D333" s="195"/>
      <c r="E333" s="195"/>
      <c r="F333" s="195"/>
      <c r="G333" s="195"/>
      <c r="H333" s="195"/>
      <c r="J333" s="7"/>
      <c r="K333" s="7"/>
      <c r="O333" s="98"/>
    </row>
    <row r="334" spans="2:15" x14ac:dyDescent="0.25">
      <c r="B334" s="11" t="s">
        <v>518</v>
      </c>
      <c r="C334" s="231" t="s">
        <v>880</v>
      </c>
      <c r="D334" s="231"/>
      <c r="E334" s="231" t="s">
        <v>491</v>
      </c>
      <c r="F334" s="231"/>
      <c r="G334" s="231" t="s">
        <v>742</v>
      </c>
      <c r="H334" s="231"/>
      <c r="J334" s="7"/>
      <c r="K334" s="7"/>
      <c r="O334" s="109">
        <v>1.1900000000000001E-4</v>
      </c>
    </row>
    <row r="335" spans="2:15" x14ac:dyDescent="0.25">
      <c r="B335" s="11"/>
      <c r="C335" s="11"/>
      <c r="D335" s="11"/>
      <c r="E335" s="11"/>
      <c r="F335" s="11"/>
      <c r="G335" s="11"/>
      <c r="H335" s="11"/>
      <c r="J335" s="7"/>
      <c r="K335" s="7"/>
      <c r="O335" s="98"/>
    </row>
    <row r="336" spans="2:15" x14ac:dyDescent="0.25">
      <c r="B336" s="217" t="s">
        <v>408</v>
      </c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9"/>
      <c r="O336" s="100">
        <f>SUM(O314:O334)</f>
        <v>3.9496487999999996E-2</v>
      </c>
    </row>
    <row r="337" spans="2:15" x14ac:dyDescent="0.25">
      <c r="B337" s="122" t="s">
        <v>6018</v>
      </c>
      <c r="C337" s="220" t="s">
        <v>6019</v>
      </c>
      <c r="D337" s="220"/>
      <c r="E337" s="221" t="s">
        <v>3115</v>
      </c>
      <c r="F337" s="221"/>
      <c r="G337" s="221" t="s">
        <v>6020</v>
      </c>
      <c r="H337" s="221"/>
      <c r="I337" s="220" t="s">
        <v>6021</v>
      </c>
      <c r="J337" s="220"/>
      <c r="K337" s="220" t="s">
        <v>6022</v>
      </c>
      <c r="L337" s="220"/>
      <c r="M337" s="222"/>
      <c r="O337" s="98"/>
    </row>
    <row r="338" spans="2:15" ht="15.75" customHeight="1" x14ac:dyDescent="0.25">
      <c r="B338" s="123" t="s">
        <v>6023</v>
      </c>
      <c r="C338" s="225" t="s">
        <v>5652</v>
      </c>
      <c r="D338" s="226"/>
      <c r="E338" s="223" t="s">
        <v>6024</v>
      </c>
      <c r="F338" s="223"/>
      <c r="G338" s="223" t="s">
        <v>3739</v>
      </c>
      <c r="H338" s="223"/>
      <c r="I338" s="227" t="s">
        <v>3846</v>
      </c>
      <c r="J338" s="227"/>
      <c r="K338" s="223" t="s">
        <v>2515</v>
      </c>
      <c r="L338" s="223"/>
      <c r="M338" s="224"/>
    </row>
    <row r="339" spans="2:15" ht="15.75" customHeight="1" x14ac:dyDescent="0.25">
      <c r="B339" s="123" t="s">
        <v>6025</v>
      </c>
      <c r="C339" s="225" t="s">
        <v>422</v>
      </c>
      <c r="D339" s="226"/>
      <c r="E339" s="227" t="s">
        <v>6026</v>
      </c>
      <c r="F339" s="227"/>
      <c r="G339" s="223" t="s">
        <v>6027</v>
      </c>
      <c r="H339" s="223"/>
      <c r="I339" s="223" t="s">
        <v>6028</v>
      </c>
      <c r="J339" s="223"/>
      <c r="K339" s="223" t="s">
        <v>3510</v>
      </c>
      <c r="L339" s="223"/>
      <c r="M339" s="224"/>
    </row>
    <row r="341" spans="2:15" ht="23.25" x14ac:dyDescent="0.35">
      <c r="B341" s="29" t="s">
        <v>334</v>
      </c>
      <c r="C341" s="229" t="s">
        <v>277</v>
      </c>
      <c r="D341" s="229"/>
      <c r="E341" s="229"/>
      <c r="F341" s="229"/>
      <c r="G341" s="229"/>
      <c r="H341" s="229"/>
      <c r="I341" s="229"/>
      <c r="J341" s="229"/>
    </row>
    <row r="342" spans="2:15" ht="18.75" x14ac:dyDescent="0.3">
      <c r="B342" s="12" t="s">
        <v>335</v>
      </c>
      <c r="C342" s="195" t="s">
        <v>6029</v>
      </c>
      <c r="D342" s="228" t="s">
        <v>427</v>
      </c>
      <c r="E342" s="228"/>
      <c r="F342" s="1" t="s">
        <v>6030</v>
      </c>
      <c r="L342" s="12" t="s">
        <v>339</v>
      </c>
      <c r="M342" s="6" t="s">
        <v>276</v>
      </c>
    </row>
    <row r="344" spans="2:15" x14ac:dyDescent="0.25">
      <c r="B344" s="2" t="s">
        <v>341</v>
      </c>
      <c r="C344" s="250" t="s">
        <v>430</v>
      </c>
      <c r="D344" s="250"/>
      <c r="E344" s="250" t="s">
        <v>805</v>
      </c>
      <c r="F344" s="250"/>
      <c r="G344" s="250" t="s">
        <v>342</v>
      </c>
      <c r="H344" s="250"/>
      <c r="I344" s="228" t="s">
        <v>345</v>
      </c>
      <c r="J344" s="228"/>
      <c r="K344" s="228"/>
      <c r="L344" s="228"/>
      <c r="M344" s="228"/>
    </row>
    <row r="345" spans="2:15" x14ac:dyDescent="0.25">
      <c r="C345" s="1"/>
      <c r="D345" s="1"/>
      <c r="E345" s="1"/>
      <c r="F345" s="1"/>
      <c r="G345" s="1"/>
      <c r="H345" s="1"/>
    </row>
    <row r="346" spans="2:15" x14ac:dyDescent="0.25">
      <c r="B346" s="11" t="s">
        <v>6031</v>
      </c>
      <c r="C346" s="231" t="s">
        <v>392</v>
      </c>
      <c r="D346" s="231"/>
      <c r="E346" s="231" t="s">
        <v>789</v>
      </c>
      <c r="F346" s="231"/>
      <c r="G346" s="231" t="s">
        <v>399</v>
      </c>
      <c r="H346" s="231"/>
      <c r="I346" s="14" t="s">
        <v>6032</v>
      </c>
      <c r="L346" s="14"/>
    </row>
    <row r="347" spans="2:15" x14ac:dyDescent="0.25">
      <c r="B347" s="11"/>
      <c r="C347" s="11"/>
      <c r="D347" s="185"/>
      <c r="E347" s="11"/>
      <c r="F347" s="185"/>
      <c r="G347" s="11"/>
      <c r="H347" s="185"/>
      <c r="I347" s="14" t="s">
        <v>6033</v>
      </c>
      <c r="L347" s="14"/>
    </row>
    <row r="348" spans="2:15" x14ac:dyDescent="0.25">
      <c r="B348" s="1" t="s">
        <v>6034</v>
      </c>
      <c r="C348" s="296" t="s">
        <v>6035</v>
      </c>
      <c r="D348" s="296"/>
      <c r="E348" s="296" t="s">
        <v>382</v>
      </c>
      <c r="F348" s="296"/>
      <c r="G348" s="296" t="s">
        <v>6002</v>
      </c>
      <c r="H348" s="296"/>
      <c r="I348" s="14" t="s">
        <v>6036</v>
      </c>
      <c r="L348" s="14"/>
    </row>
    <row r="349" spans="2:15" x14ac:dyDescent="0.25">
      <c r="B349" s="1"/>
      <c r="C349" s="195"/>
      <c r="D349" s="195"/>
      <c r="E349" s="195"/>
      <c r="F349" s="195"/>
      <c r="G349" s="195"/>
      <c r="H349" s="195"/>
      <c r="I349" s="14" t="s">
        <v>6037</v>
      </c>
      <c r="L349" s="14"/>
      <c r="M349" s="14"/>
    </row>
    <row r="350" spans="2:15" x14ac:dyDescent="0.25">
      <c r="B350" s="11" t="s">
        <v>5381</v>
      </c>
      <c r="C350" s="231" t="s">
        <v>3835</v>
      </c>
      <c r="D350" s="231"/>
      <c r="E350" s="231" t="s">
        <v>516</v>
      </c>
      <c r="F350" s="231"/>
      <c r="G350" s="231" t="s">
        <v>1296</v>
      </c>
      <c r="H350" s="231"/>
      <c r="I350" s="14" t="s">
        <v>2450</v>
      </c>
      <c r="L350" s="15"/>
      <c r="M350" s="14"/>
    </row>
    <row r="351" spans="2:15" x14ac:dyDescent="0.25">
      <c r="B351" s="11"/>
      <c r="C351" s="185"/>
      <c r="D351" s="185"/>
      <c r="E351" s="185"/>
      <c r="F351" s="185"/>
      <c r="G351" s="185"/>
      <c r="H351" s="185"/>
      <c r="I351" s="14" t="s">
        <v>6038</v>
      </c>
      <c r="K351" s="7"/>
    </row>
    <row r="352" spans="2:15" x14ac:dyDescent="0.25">
      <c r="B352" s="1" t="s">
        <v>889</v>
      </c>
      <c r="C352" s="296" t="s">
        <v>491</v>
      </c>
      <c r="D352" s="296"/>
      <c r="E352" s="283" t="s">
        <v>6039</v>
      </c>
      <c r="F352" s="283"/>
      <c r="G352" s="283" t="s">
        <v>6040</v>
      </c>
      <c r="H352" s="283"/>
      <c r="I352" s="14" t="s">
        <v>6041</v>
      </c>
      <c r="K352" s="7"/>
    </row>
    <row r="353" spans="2:13" x14ac:dyDescent="0.25">
      <c r="B353" s="1"/>
      <c r="C353" s="1"/>
      <c r="D353" s="195"/>
      <c r="E353" s="195"/>
      <c r="F353" s="195"/>
      <c r="G353" s="195"/>
      <c r="H353" s="195"/>
      <c r="I353" s="14" t="s">
        <v>6042</v>
      </c>
      <c r="K353" s="7"/>
    </row>
    <row r="354" spans="2:13" x14ac:dyDescent="0.25">
      <c r="B354" s="11" t="s">
        <v>1046</v>
      </c>
      <c r="C354" s="231" t="s">
        <v>513</v>
      </c>
      <c r="D354" s="231"/>
      <c r="E354" s="231" t="s">
        <v>4117</v>
      </c>
      <c r="F354" s="231"/>
      <c r="G354" s="231" t="s">
        <v>6043</v>
      </c>
      <c r="H354" s="231"/>
      <c r="I354" s="14" t="s">
        <v>612</v>
      </c>
      <c r="K354" s="7"/>
    </row>
    <row r="355" spans="2:13" x14ac:dyDescent="0.25">
      <c r="B355" s="11"/>
      <c r="C355" s="11"/>
      <c r="D355" s="185"/>
      <c r="E355" s="11"/>
      <c r="F355" s="185"/>
      <c r="G355" s="11"/>
      <c r="H355" s="185"/>
      <c r="I355" s="15" t="s">
        <v>2576</v>
      </c>
      <c r="K355" s="7"/>
    </row>
    <row r="356" spans="2:13" x14ac:dyDescent="0.25">
      <c r="B356" s="1" t="s">
        <v>6044</v>
      </c>
      <c r="C356" s="296" t="s">
        <v>508</v>
      </c>
      <c r="D356" s="296"/>
      <c r="E356" s="296" t="s">
        <v>390</v>
      </c>
      <c r="F356" s="296"/>
      <c r="G356" s="296" t="s">
        <v>6035</v>
      </c>
      <c r="H356" s="296"/>
      <c r="I356" s="14" t="s">
        <v>6045</v>
      </c>
      <c r="K356" s="7"/>
    </row>
    <row r="357" spans="2:13" x14ac:dyDescent="0.25">
      <c r="B357" s="1"/>
      <c r="C357" s="1"/>
      <c r="D357" s="195"/>
      <c r="E357" s="195"/>
      <c r="F357" s="195"/>
      <c r="G357" s="195"/>
      <c r="H357" s="195"/>
      <c r="I357" s="14" t="s">
        <v>6046</v>
      </c>
      <c r="K357" s="7"/>
    </row>
    <row r="358" spans="2:13" x14ac:dyDescent="0.25">
      <c r="B358" s="11" t="s">
        <v>6047</v>
      </c>
      <c r="C358" s="230" t="s">
        <v>1037</v>
      </c>
      <c r="D358" s="230"/>
      <c r="E358" s="230" t="s">
        <v>1635</v>
      </c>
      <c r="F358" s="230"/>
      <c r="G358" s="230" t="s">
        <v>2388</v>
      </c>
      <c r="H358" s="230"/>
      <c r="I358" s="14" t="s">
        <v>1665</v>
      </c>
      <c r="K358" s="7"/>
    </row>
    <row r="359" spans="2:13" ht="15.75" thickBot="1" x14ac:dyDescent="0.3">
      <c r="B359" s="11" t="s">
        <v>6048</v>
      </c>
      <c r="C359" s="185"/>
      <c r="D359" s="185"/>
      <c r="E359" s="185"/>
      <c r="F359" s="185"/>
      <c r="G359" s="185"/>
      <c r="H359" s="185"/>
      <c r="I359" s="14" t="s">
        <v>1666</v>
      </c>
      <c r="K359" s="7"/>
    </row>
    <row r="360" spans="2:13" x14ac:dyDescent="0.25">
      <c r="B360" s="217" t="s">
        <v>401</v>
      </c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9"/>
    </row>
    <row r="361" spans="2:13" x14ac:dyDescent="0.25">
      <c r="B361" s="3" t="s">
        <v>402</v>
      </c>
      <c r="C361" s="232" t="s">
        <v>403</v>
      </c>
      <c r="D361" s="232"/>
      <c r="E361" s="232" t="s">
        <v>467</v>
      </c>
      <c r="F361" s="232"/>
      <c r="G361" s="232" t="s">
        <v>405</v>
      </c>
      <c r="H361" s="232"/>
      <c r="I361" s="232" t="s">
        <v>406</v>
      </c>
      <c r="J361" s="232"/>
      <c r="K361" s="234" t="s">
        <v>468</v>
      </c>
      <c r="L361" s="235"/>
      <c r="M361" s="236"/>
    </row>
    <row r="362" spans="2:13" ht="15.75" thickBot="1" x14ac:dyDescent="0.3">
      <c r="B362" s="5"/>
      <c r="C362" s="237"/>
      <c r="D362" s="238"/>
      <c r="E362" s="239"/>
      <c r="F362" s="238"/>
      <c r="G362" s="240"/>
      <c r="H362" s="240"/>
      <c r="I362" s="241"/>
      <c r="J362" s="241"/>
      <c r="K362" s="242"/>
      <c r="L362" s="243"/>
      <c r="M362" s="244"/>
    </row>
    <row r="363" spans="2:13" ht="15.75" thickBot="1" x14ac:dyDescent="0.3">
      <c r="B363" s="1"/>
      <c r="C363" s="1"/>
      <c r="D363" s="1"/>
      <c r="E363" s="1"/>
      <c r="F363" s="1"/>
      <c r="G363" s="1"/>
      <c r="H363" s="1"/>
    </row>
    <row r="364" spans="2:13" x14ac:dyDescent="0.25">
      <c r="B364" s="217" t="s">
        <v>408</v>
      </c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9"/>
    </row>
    <row r="365" spans="2:13" x14ac:dyDescent="0.25">
      <c r="B365" s="3" t="s">
        <v>6049</v>
      </c>
      <c r="C365" s="268" t="s">
        <v>3799</v>
      </c>
      <c r="D365" s="268"/>
      <c r="E365" s="233" t="s">
        <v>2728</v>
      </c>
      <c r="F365" s="233"/>
      <c r="G365" s="233" t="s">
        <v>6050</v>
      </c>
      <c r="H365" s="233"/>
      <c r="I365" s="233" t="s">
        <v>692</v>
      </c>
      <c r="J365" s="233"/>
      <c r="K365" s="232" t="s">
        <v>6051</v>
      </c>
      <c r="L365" s="232"/>
      <c r="M365" s="269"/>
    </row>
    <row r="366" spans="2:13" ht="15.75" thickBot="1" x14ac:dyDescent="0.3">
      <c r="B366" s="5" t="s">
        <v>415</v>
      </c>
      <c r="C366" s="240" t="s">
        <v>6052</v>
      </c>
      <c r="D366" s="240"/>
      <c r="E366" s="388" t="s">
        <v>6053</v>
      </c>
      <c r="F366" s="388"/>
      <c r="G366" s="388" t="s">
        <v>3846</v>
      </c>
      <c r="H366" s="388"/>
      <c r="I366" s="388" t="s">
        <v>6054</v>
      </c>
      <c r="J366" s="388"/>
      <c r="K366" s="240" t="s">
        <v>5896</v>
      </c>
      <c r="L366" s="240"/>
      <c r="M366" s="267"/>
    </row>
    <row r="368" spans="2:13" ht="23.25" x14ac:dyDescent="0.35">
      <c r="B368" s="29" t="s">
        <v>334</v>
      </c>
      <c r="C368" s="229" t="s">
        <v>282</v>
      </c>
      <c r="D368" s="229"/>
      <c r="E368" s="229"/>
      <c r="F368" s="229"/>
      <c r="G368" s="229"/>
      <c r="H368" s="229"/>
      <c r="I368" s="229"/>
      <c r="J368" s="229"/>
    </row>
    <row r="369" spans="2:13" ht="18.75" x14ac:dyDescent="0.3">
      <c r="B369" s="12" t="s">
        <v>335</v>
      </c>
      <c r="C369" s="195" t="s">
        <v>6029</v>
      </c>
      <c r="D369" s="228" t="s">
        <v>427</v>
      </c>
      <c r="E369" s="228"/>
      <c r="F369" s="1" t="s">
        <v>5836</v>
      </c>
      <c r="L369" s="12" t="s">
        <v>339</v>
      </c>
      <c r="M369" s="6" t="s">
        <v>281</v>
      </c>
    </row>
    <row r="371" spans="2:13" x14ac:dyDescent="0.25">
      <c r="B371" s="2" t="s">
        <v>341</v>
      </c>
      <c r="C371" s="250" t="s">
        <v>430</v>
      </c>
      <c r="D371" s="250"/>
      <c r="E371" s="250" t="s">
        <v>805</v>
      </c>
      <c r="F371" s="250"/>
      <c r="G371" s="250" t="s">
        <v>342</v>
      </c>
      <c r="H371" s="250"/>
      <c r="I371" s="228" t="s">
        <v>345</v>
      </c>
      <c r="J371" s="228"/>
      <c r="K371" s="228"/>
      <c r="L371" s="228"/>
      <c r="M371" s="228"/>
    </row>
    <row r="372" spans="2:13" x14ac:dyDescent="0.25">
      <c r="C372" s="1"/>
      <c r="D372" s="1"/>
      <c r="E372" s="1"/>
      <c r="F372" s="1"/>
      <c r="G372" s="1"/>
      <c r="H372" s="1"/>
    </row>
    <row r="373" spans="2:13" x14ac:dyDescent="0.25">
      <c r="B373" s="11" t="s">
        <v>6055</v>
      </c>
      <c r="C373" s="231" t="s">
        <v>390</v>
      </c>
      <c r="D373" s="231"/>
      <c r="E373" s="231" t="s">
        <v>392</v>
      </c>
      <c r="F373" s="231"/>
      <c r="G373" s="231" t="s">
        <v>382</v>
      </c>
      <c r="H373" s="231"/>
      <c r="I373" s="14" t="s">
        <v>6056</v>
      </c>
      <c r="L373" s="14"/>
    </row>
    <row r="374" spans="2:13" x14ac:dyDescent="0.25">
      <c r="B374" s="11"/>
      <c r="C374" s="11"/>
      <c r="D374" s="185"/>
      <c r="E374" s="11"/>
      <c r="F374" s="185"/>
      <c r="G374" s="11"/>
      <c r="H374" s="185"/>
      <c r="I374" s="14" t="s">
        <v>6057</v>
      </c>
      <c r="L374" s="14"/>
    </row>
    <row r="375" spans="2:13" x14ac:dyDescent="0.25">
      <c r="B375" s="1" t="s">
        <v>889</v>
      </c>
      <c r="C375" s="296" t="s">
        <v>1127</v>
      </c>
      <c r="D375" s="296"/>
      <c r="E375" s="296" t="s">
        <v>6058</v>
      </c>
      <c r="F375" s="296"/>
      <c r="G375" s="296" t="s">
        <v>491</v>
      </c>
      <c r="H375" s="296"/>
      <c r="I375" s="14" t="s">
        <v>6059</v>
      </c>
      <c r="L375" s="14"/>
    </row>
    <row r="376" spans="2:13" x14ac:dyDescent="0.25">
      <c r="B376" s="1"/>
      <c r="C376" s="195"/>
      <c r="D376" s="195"/>
      <c r="E376" s="195"/>
      <c r="F376" s="195"/>
      <c r="G376" s="195"/>
      <c r="H376" s="195"/>
      <c r="I376" s="14" t="s">
        <v>6060</v>
      </c>
      <c r="L376" s="14"/>
      <c r="M376" s="14"/>
    </row>
    <row r="377" spans="2:13" x14ac:dyDescent="0.25">
      <c r="B377" s="11" t="s">
        <v>6061</v>
      </c>
      <c r="C377" s="231" t="s">
        <v>513</v>
      </c>
      <c r="D377" s="231"/>
      <c r="E377" s="231" t="s">
        <v>4117</v>
      </c>
      <c r="F377" s="231"/>
      <c r="G377" s="231" t="s">
        <v>6043</v>
      </c>
      <c r="H377" s="231"/>
      <c r="I377" s="14" t="s">
        <v>6062</v>
      </c>
      <c r="L377" s="15"/>
      <c r="M377" s="14"/>
    </row>
    <row r="378" spans="2:13" x14ac:dyDescent="0.25">
      <c r="B378" s="11"/>
      <c r="C378" s="185"/>
      <c r="D378" s="185"/>
      <c r="E378" s="185"/>
      <c r="F378" s="185"/>
      <c r="G378" s="185"/>
      <c r="H378" s="185"/>
      <c r="I378" s="14" t="s">
        <v>6063</v>
      </c>
      <c r="K378" s="7"/>
    </row>
    <row r="379" spans="2:13" x14ac:dyDescent="0.25">
      <c r="B379" s="1" t="s">
        <v>5381</v>
      </c>
      <c r="C379" s="296" t="s">
        <v>657</v>
      </c>
      <c r="D379" s="296"/>
      <c r="E379" s="283" t="s">
        <v>486</v>
      </c>
      <c r="F379" s="283"/>
      <c r="G379" s="283" t="s">
        <v>6064</v>
      </c>
      <c r="H379" s="283"/>
      <c r="I379" s="15" t="s">
        <v>2576</v>
      </c>
      <c r="K379" s="7"/>
    </row>
    <row r="380" spans="2:13" x14ac:dyDescent="0.25">
      <c r="B380" s="1"/>
      <c r="C380" s="1"/>
      <c r="D380" s="195"/>
      <c r="E380" s="195"/>
      <c r="F380" s="195"/>
      <c r="G380" s="195"/>
      <c r="H380" s="195"/>
      <c r="I380" s="14" t="s">
        <v>6065</v>
      </c>
      <c r="K380" s="7"/>
    </row>
    <row r="381" spans="2:13" x14ac:dyDescent="0.25">
      <c r="B381" s="11" t="s">
        <v>1714</v>
      </c>
      <c r="C381" s="231" t="s">
        <v>744</v>
      </c>
      <c r="D381" s="231"/>
      <c r="E381" s="231" t="s">
        <v>508</v>
      </c>
      <c r="F381" s="231"/>
      <c r="G381" s="231" t="s">
        <v>6066</v>
      </c>
      <c r="H381" s="231"/>
      <c r="I381" s="14" t="s">
        <v>6067</v>
      </c>
      <c r="K381" s="7"/>
    </row>
    <row r="382" spans="2:13" x14ac:dyDescent="0.25">
      <c r="B382" s="11"/>
      <c r="C382" s="11"/>
      <c r="D382" s="185"/>
      <c r="E382" s="11"/>
      <c r="F382" s="185"/>
      <c r="G382" s="11"/>
      <c r="H382" s="185"/>
      <c r="I382" s="14" t="s">
        <v>1665</v>
      </c>
      <c r="K382" s="7"/>
    </row>
    <row r="383" spans="2:13" x14ac:dyDescent="0.25">
      <c r="B383" s="1" t="s">
        <v>1035</v>
      </c>
      <c r="C383" s="296" t="s">
        <v>790</v>
      </c>
      <c r="D383" s="296"/>
      <c r="E383" s="296" t="s">
        <v>1037</v>
      </c>
      <c r="F383" s="296"/>
      <c r="G383" s="296" t="s">
        <v>1275</v>
      </c>
      <c r="H383" s="296"/>
      <c r="I383" s="14"/>
      <c r="K383" s="7"/>
    </row>
    <row r="384" spans="2:13" x14ac:dyDescent="0.25">
      <c r="B384" s="1"/>
      <c r="C384" s="1"/>
      <c r="D384" s="195"/>
      <c r="E384" s="195"/>
      <c r="F384" s="195"/>
      <c r="G384" s="195"/>
      <c r="H384" s="195"/>
      <c r="I384" s="14"/>
      <c r="K384" s="7"/>
    </row>
    <row r="385" spans="2:13" x14ac:dyDescent="0.25">
      <c r="B385" s="11" t="s">
        <v>6068</v>
      </c>
      <c r="C385" s="230" t="s">
        <v>390</v>
      </c>
      <c r="D385" s="230"/>
      <c r="E385" s="230" t="s">
        <v>392</v>
      </c>
      <c r="F385" s="230"/>
      <c r="G385" s="230" t="s">
        <v>382</v>
      </c>
      <c r="H385" s="230"/>
      <c r="I385" s="14"/>
      <c r="K385" s="7"/>
    </row>
    <row r="386" spans="2:13" x14ac:dyDescent="0.25">
      <c r="B386" s="11"/>
      <c r="C386" s="185"/>
      <c r="D386" s="185"/>
      <c r="E386" s="185"/>
      <c r="F386" s="185"/>
      <c r="G386" s="185"/>
      <c r="H386" s="185"/>
      <c r="I386" s="14"/>
      <c r="K386" s="7"/>
    </row>
    <row r="387" spans="2:13" x14ac:dyDescent="0.25">
      <c r="B387" s="1" t="s">
        <v>6031</v>
      </c>
      <c r="C387" s="296" t="s">
        <v>392</v>
      </c>
      <c r="D387" s="296"/>
      <c r="E387" s="296" t="s">
        <v>789</v>
      </c>
      <c r="F387" s="296"/>
      <c r="G387" s="296" t="s">
        <v>399</v>
      </c>
      <c r="H387" s="296"/>
      <c r="I387" s="14"/>
      <c r="K387" s="7"/>
    </row>
    <row r="388" spans="2:13" ht="15.75" thickBot="1" x14ac:dyDescent="0.3">
      <c r="B388" s="32"/>
      <c r="C388" s="198"/>
      <c r="D388" s="198"/>
      <c r="E388" s="198"/>
      <c r="F388" s="198"/>
      <c r="G388" s="198"/>
      <c r="H388" s="198"/>
      <c r="I388" s="14"/>
      <c r="K388" s="7"/>
    </row>
    <row r="389" spans="2:13" x14ac:dyDescent="0.25">
      <c r="B389" s="217" t="s">
        <v>401</v>
      </c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9"/>
    </row>
    <row r="390" spans="2:13" x14ac:dyDescent="0.25">
      <c r="B390" s="3" t="s">
        <v>402</v>
      </c>
      <c r="C390" s="232" t="s">
        <v>403</v>
      </c>
      <c r="D390" s="232"/>
      <c r="E390" s="232" t="s">
        <v>467</v>
      </c>
      <c r="F390" s="232"/>
      <c r="G390" s="232" t="s">
        <v>405</v>
      </c>
      <c r="H390" s="232"/>
      <c r="I390" s="232" t="s">
        <v>406</v>
      </c>
      <c r="J390" s="232"/>
      <c r="K390" s="234" t="s">
        <v>468</v>
      </c>
      <c r="L390" s="235"/>
      <c r="M390" s="236"/>
    </row>
    <row r="391" spans="2:13" ht="15.75" thickBot="1" x14ac:dyDescent="0.3">
      <c r="B391" s="5"/>
      <c r="C391" s="237"/>
      <c r="D391" s="238"/>
      <c r="E391" s="239"/>
      <c r="F391" s="238"/>
      <c r="G391" s="240"/>
      <c r="H391" s="240"/>
      <c r="I391" s="241"/>
      <c r="J391" s="241"/>
      <c r="K391" s="242"/>
      <c r="L391" s="243"/>
      <c r="M391" s="244"/>
    </row>
    <row r="392" spans="2:13" ht="15.75" thickBot="1" x14ac:dyDescent="0.3">
      <c r="B392" s="1"/>
      <c r="C392" s="1"/>
      <c r="D392" s="1"/>
      <c r="E392" s="1"/>
      <c r="F392" s="1"/>
      <c r="G392" s="1"/>
      <c r="H392" s="1"/>
    </row>
    <row r="393" spans="2:13" x14ac:dyDescent="0.25">
      <c r="B393" s="217" t="s">
        <v>408</v>
      </c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9"/>
    </row>
    <row r="394" spans="2:13" x14ac:dyDescent="0.25">
      <c r="B394" s="3" t="s">
        <v>6069</v>
      </c>
      <c r="C394" s="268" t="s">
        <v>6070</v>
      </c>
      <c r="D394" s="268"/>
      <c r="E394" s="233" t="s">
        <v>2728</v>
      </c>
      <c r="F394" s="233"/>
      <c r="G394" s="233" t="s">
        <v>6071</v>
      </c>
      <c r="H394" s="233"/>
      <c r="I394" s="233" t="s">
        <v>692</v>
      </c>
      <c r="J394" s="233"/>
      <c r="K394" s="232" t="s">
        <v>6072</v>
      </c>
      <c r="L394" s="232"/>
      <c r="M394" s="269"/>
    </row>
    <row r="395" spans="2:13" ht="15.75" thickBot="1" x14ac:dyDescent="0.3">
      <c r="B395" s="5" t="s">
        <v>2819</v>
      </c>
      <c r="C395" s="240" t="s">
        <v>6073</v>
      </c>
      <c r="D395" s="240"/>
      <c r="E395" s="388" t="s">
        <v>6074</v>
      </c>
      <c r="F395" s="388"/>
      <c r="G395" s="388" t="s">
        <v>6075</v>
      </c>
      <c r="H395" s="388"/>
      <c r="I395" s="388" t="s">
        <v>5301</v>
      </c>
      <c r="J395" s="388"/>
      <c r="K395" s="240" t="s">
        <v>3738</v>
      </c>
      <c r="L395" s="240"/>
      <c r="M395" s="267"/>
    </row>
    <row r="397" spans="2:13" ht="23.25" x14ac:dyDescent="0.35">
      <c r="B397" s="29" t="s">
        <v>334</v>
      </c>
      <c r="C397" s="229" t="s">
        <v>287</v>
      </c>
      <c r="D397" s="229"/>
      <c r="E397" s="229"/>
      <c r="F397" s="229"/>
      <c r="G397" s="229"/>
      <c r="H397" s="229"/>
      <c r="I397" s="229"/>
      <c r="J397" s="229"/>
    </row>
    <row r="398" spans="2:13" ht="18.75" x14ac:dyDescent="0.3">
      <c r="B398" s="12" t="s">
        <v>335</v>
      </c>
      <c r="C398" s="195" t="s">
        <v>5835</v>
      </c>
      <c r="D398" s="228" t="s">
        <v>427</v>
      </c>
      <c r="E398" s="228"/>
      <c r="F398" s="1" t="s">
        <v>5836</v>
      </c>
      <c r="L398" s="12" t="s">
        <v>339</v>
      </c>
      <c r="M398" s="6" t="s">
        <v>286</v>
      </c>
    </row>
    <row r="400" spans="2:13" x14ac:dyDescent="0.25">
      <c r="B400" s="2" t="s">
        <v>341</v>
      </c>
      <c r="C400" s="250" t="s">
        <v>5880</v>
      </c>
      <c r="D400" s="250"/>
      <c r="E400" s="250" t="s">
        <v>5881</v>
      </c>
      <c r="F400" s="250"/>
      <c r="G400" s="228" t="s">
        <v>345</v>
      </c>
      <c r="H400" s="228"/>
      <c r="I400" s="228"/>
      <c r="J400" s="228"/>
      <c r="K400" s="228"/>
    </row>
    <row r="401" spans="2:13" x14ac:dyDescent="0.25">
      <c r="C401" s="1"/>
      <c r="D401" s="1"/>
      <c r="E401" s="1"/>
      <c r="F401" s="1"/>
    </row>
    <row r="402" spans="2:13" x14ac:dyDescent="0.25">
      <c r="B402" s="11" t="s">
        <v>5884</v>
      </c>
      <c r="C402" s="231" t="s">
        <v>398</v>
      </c>
      <c r="D402" s="231"/>
      <c r="E402" s="231" t="s">
        <v>2921</v>
      </c>
      <c r="F402" s="231"/>
      <c r="G402" s="14" t="s">
        <v>6076</v>
      </c>
      <c r="J402" s="14"/>
    </row>
    <row r="403" spans="2:13" x14ac:dyDescent="0.25">
      <c r="B403" s="11"/>
      <c r="C403" s="11"/>
      <c r="D403" s="185"/>
      <c r="E403" s="11"/>
      <c r="F403" s="185"/>
      <c r="G403" s="14" t="s">
        <v>6077</v>
      </c>
      <c r="J403" s="14"/>
    </row>
    <row r="404" spans="2:13" x14ac:dyDescent="0.25">
      <c r="B404" s="1" t="s">
        <v>1035</v>
      </c>
      <c r="C404" s="296" t="s">
        <v>6078</v>
      </c>
      <c r="D404" s="296"/>
      <c r="E404" s="296" t="s">
        <v>355</v>
      </c>
      <c r="F404" s="296"/>
      <c r="G404" s="14" t="s">
        <v>6079</v>
      </c>
      <c r="J404" s="14"/>
    </row>
    <row r="405" spans="2:13" x14ac:dyDescent="0.25">
      <c r="B405" s="1"/>
      <c r="C405" s="195"/>
      <c r="D405" s="195"/>
      <c r="E405" s="195"/>
      <c r="F405" s="195"/>
      <c r="G405" s="14" t="s">
        <v>6080</v>
      </c>
      <c r="J405" s="14"/>
      <c r="K405" s="14"/>
    </row>
    <row r="406" spans="2:13" x14ac:dyDescent="0.25">
      <c r="B406" s="11" t="s">
        <v>6081</v>
      </c>
      <c r="C406" s="231" t="s">
        <v>508</v>
      </c>
      <c r="D406" s="231"/>
      <c r="E406" s="231" t="s">
        <v>392</v>
      </c>
      <c r="F406" s="231"/>
      <c r="G406" s="15" t="s">
        <v>2576</v>
      </c>
      <c r="J406" s="15"/>
      <c r="K406" s="14"/>
    </row>
    <row r="407" spans="2:13" x14ac:dyDescent="0.25">
      <c r="B407" s="11"/>
      <c r="C407" s="185"/>
      <c r="D407" s="185"/>
      <c r="E407" s="185"/>
      <c r="F407" s="185"/>
      <c r="G407" s="14" t="s">
        <v>1665</v>
      </c>
      <c r="I407" s="7"/>
    </row>
    <row r="408" spans="2:13" x14ac:dyDescent="0.25">
      <c r="B408" s="1" t="s">
        <v>1700</v>
      </c>
      <c r="C408" s="296" t="s">
        <v>657</v>
      </c>
      <c r="D408" s="296"/>
      <c r="E408" s="296" t="s">
        <v>744</v>
      </c>
      <c r="F408" s="296"/>
      <c r="I408" s="7"/>
    </row>
    <row r="409" spans="2:13" x14ac:dyDescent="0.25">
      <c r="B409" s="1"/>
      <c r="C409" s="1"/>
      <c r="D409" s="195"/>
      <c r="E409" s="1"/>
      <c r="F409" s="195"/>
      <c r="G409" s="14"/>
      <c r="I409" s="7"/>
    </row>
    <row r="410" spans="2:13" x14ac:dyDescent="0.25">
      <c r="B410" s="11" t="s">
        <v>6082</v>
      </c>
      <c r="C410" s="231" t="s">
        <v>744</v>
      </c>
      <c r="D410" s="231"/>
      <c r="E410" s="231" t="s">
        <v>390</v>
      </c>
      <c r="F410" s="231"/>
      <c r="G410" s="14"/>
      <c r="I410" s="7"/>
    </row>
    <row r="411" spans="2:13" ht="15.75" thickBot="1" x14ac:dyDescent="0.3">
      <c r="B411" s="11"/>
      <c r="C411" s="11"/>
      <c r="D411" s="185"/>
      <c r="E411" s="11"/>
      <c r="F411" s="185"/>
      <c r="G411" s="14"/>
      <c r="I411" s="7"/>
    </row>
    <row r="412" spans="2:13" x14ac:dyDescent="0.25">
      <c r="B412" s="217" t="s">
        <v>401</v>
      </c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9"/>
    </row>
    <row r="413" spans="2:13" x14ac:dyDescent="0.25">
      <c r="B413" s="3" t="s">
        <v>402</v>
      </c>
      <c r="C413" s="232" t="s">
        <v>403</v>
      </c>
      <c r="D413" s="232"/>
      <c r="E413" s="232" t="s">
        <v>467</v>
      </c>
      <c r="F413" s="232"/>
      <c r="G413" s="232" t="s">
        <v>405</v>
      </c>
      <c r="H413" s="232"/>
      <c r="I413" s="232" t="s">
        <v>406</v>
      </c>
      <c r="J413" s="232"/>
      <c r="K413" s="234" t="s">
        <v>468</v>
      </c>
      <c r="L413" s="235"/>
      <c r="M413" s="236"/>
    </row>
    <row r="414" spans="2:13" ht="15.75" thickBot="1" x14ac:dyDescent="0.3">
      <c r="B414" s="5"/>
      <c r="C414" s="237"/>
      <c r="D414" s="238"/>
      <c r="E414" s="239"/>
      <c r="F414" s="238"/>
      <c r="G414" s="240"/>
      <c r="H414" s="240"/>
      <c r="I414" s="241"/>
      <c r="J414" s="241"/>
      <c r="K414" s="242"/>
      <c r="L414" s="243"/>
      <c r="M414" s="244"/>
    </row>
    <row r="415" spans="2:13" ht="15.75" thickBot="1" x14ac:dyDescent="0.3">
      <c r="B415" s="1"/>
      <c r="C415" s="1"/>
      <c r="D415" s="1"/>
      <c r="E415" s="1"/>
      <c r="F415" s="1"/>
      <c r="G415" s="1"/>
      <c r="H415" s="1"/>
    </row>
    <row r="416" spans="2:13" x14ac:dyDescent="0.25">
      <c r="B416" s="217" t="s">
        <v>408</v>
      </c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9"/>
    </row>
    <row r="417" spans="2:13" x14ac:dyDescent="0.25">
      <c r="B417" s="3" t="s">
        <v>2814</v>
      </c>
      <c r="C417" s="268" t="s">
        <v>6083</v>
      </c>
      <c r="D417" s="268"/>
      <c r="E417" s="233" t="s">
        <v>3115</v>
      </c>
      <c r="F417" s="233"/>
      <c r="G417" s="233" t="s">
        <v>529</v>
      </c>
      <c r="H417" s="233"/>
      <c r="I417" s="233" t="s">
        <v>5613</v>
      </c>
      <c r="J417" s="233"/>
      <c r="K417" s="232" t="s">
        <v>6084</v>
      </c>
      <c r="L417" s="232"/>
      <c r="M417" s="269"/>
    </row>
    <row r="418" spans="2:13" ht="15.75" thickBot="1" x14ac:dyDescent="0.3">
      <c r="B418" s="5" t="s">
        <v>3866</v>
      </c>
      <c r="C418" s="240" t="s">
        <v>5960</v>
      </c>
      <c r="D418" s="240"/>
      <c r="E418" s="388" t="s">
        <v>1562</v>
      </c>
      <c r="F418" s="388"/>
      <c r="G418" s="388" t="s">
        <v>1563</v>
      </c>
      <c r="H418" s="388"/>
      <c r="I418" s="388" t="s">
        <v>5691</v>
      </c>
      <c r="J418" s="388"/>
      <c r="K418" s="240" t="s">
        <v>2257</v>
      </c>
      <c r="L418" s="240"/>
      <c r="M418" s="267"/>
    </row>
    <row r="420" spans="2:13" ht="23.25" x14ac:dyDescent="0.35">
      <c r="B420" s="29" t="s">
        <v>334</v>
      </c>
      <c r="C420" s="229" t="s">
        <v>263</v>
      </c>
      <c r="D420" s="229"/>
      <c r="E420" s="229"/>
      <c r="F420" s="229"/>
      <c r="G420" s="229"/>
      <c r="H420" s="229"/>
      <c r="I420" s="229"/>
      <c r="J420" s="229"/>
    </row>
    <row r="421" spans="2:13" ht="18.75" x14ac:dyDescent="0.3">
      <c r="B421" s="12" t="s">
        <v>335</v>
      </c>
      <c r="C421" s="195" t="s">
        <v>5780</v>
      </c>
      <c r="D421" s="228" t="s">
        <v>427</v>
      </c>
      <c r="E421" s="228"/>
      <c r="F421" s="1" t="s">
        <v>6085</v>
      </c>
      <c r="L421" s="12" t="s">
        <v>339</v>
      </c>
      <c r="M421" s="6" t="s">
        <v>6086</v>
      </c>
    </row>
    <row r="423" spans="2:13" x14ac:dyDescent="0.25">
      <c r="B423" s="2" t="s">
        <v>341</v>
      </c>
      <c r="C423" s="250" t="s">
        <v>342</v>
      </c>
      <c r="D423" s="250"/>
      <c r="E423" s="250" t="s">
        <v>343</v>
      </c>
      <c r="F423" s="250"/>
      <c r="G423" s="250" t="s">
        <v>6087</v>
      </c>
      <c r="H423" s="250"/>
      <c r="I423" s="228" t="s">
        <v>345</v>
      </c>
      <c r="J423" s="228"/>
      <c r="K423" s="228"/>
      <c r="L423" s="228"/>
      <c r="M423" s="228"/>
    </row>
    <row r="424" spans="2:13" x14ac:dyDescent="0.25">
      <c r="C424" s="251"/>
      <c r="D424" s="251"/>
      <c r="K424" s="7"/>
      <c r="L424" s="7"/>
      <c r="M424" s="7"/>
    </row>
    <row r="425" spans="2:13" x14ac:dyDescent="0.25">
      <c r="B425" s="11" t="s">
        <v>6088</v>
      </c>
      <c r="C425" s="231" t="s">
        <v>1323</v>
      </c>
      <c r="D425" s="231"/>
      <c r="E425" s="231" t="s">
        <v>6089</v>
      </c>
      <c r="F425" s="231"/>
      <c r="G425" s="231" t="s">
        <v>6090</v>
      </c>
      <c r="H425" s="231"/>
      <c r="I425" s="14" t="s">
        <v>6091</v>
      </c>
      <c r="L425" s="7"/>
      <c r="M425" s="7"/>
    </row>
    <row r="426" spans="2:13" x14ac:dyDescent="0.25">
      <c r="B426" s="11" t="s">
        <v>6092</v>
      </c>
      <c r="C426" s="11"/>
      <c r="D426" s="11"/>
      <c r="E426" s="11"/>
      <c r="F426" s="185"/>
      <c r="G426" s="11"/>
      <c r="H426" s="185"/>
      <c r="I426" s="14" t="s">
        <v>6093</v>
      </c>
      <c r="L426" s="7"/>
      <c r="M426" s="7"/>
    </row>
    <row r="427" spans="2:13" x14ac:dyDescent="0.25">
      <c r="B427" s="1" t="s">
        <v>6094</v>
      </c>
      <c r="C427" s="296" t="s">
        <v>6095</v>
      </c>
      <c r="D427" s="296"/>
      <c r="E427" s="296" t="s">
        <v>6096</v>
      </c>
      <c r="F427" s="296"/>
      <c r="G427" s="296" t="s">
        <v>6097</v>
      </c>
      <c r="H427" s="296"/>
      <c r="I427" s="14" t="s">
        <v>6098</v>
      </c>
      <c r="L427" s="7"/>
      <c r="M427" s="7"/>
    </row>
    <row r="428" spans="2:13" x14ac:dyDescent="0.25">
      <c r="B428" s="1" t="s">
        <v>6099</v>
      </c>
      <c r="C428" s="1"/>
      <c r="D428" s="195"/>
      <c r="E428" s="283"/>
      <c r="F428" s="283"/>
      <c r="G428" s="283"/>
      <c r="H428" s="283"/>
      <c r="I428" s="14" t="s">
        <v>6100</v>
      </c>
      <c r="L428" s="7"/>
      <c r="M428" s="7"/>
    </row>
    <row r="429" spans="2:13" x14ac:dyDescent="0.25">
      <c r="B429" s="11" t="s">
        <v>6101</v>
      </c>
      <c r="C429" s="230" t="s">
        <v>1323</v>
      </c>
      <c r="D429" s="230"/>
      <c r="E429" s="230" t="s">
        <v>6089</v>
      </c>
      <c r="F429" s="230"/>
      <c r="G429" s="230" t="s">
        <v>6090</v>
      </c>
      <c r="H429" s="230"/>
      <c r="I429" s="14" t="s">
        <v>6102</v>
      </c>
      <c r="L429" s="7"/>
      <c r="M429" s="7"/>
    </row>
    <row r="430" spans="2:13" x14ac:dyDescent="0.25">
      <c r="B430" s="11"/>
      <c r="C430" s="185"/>
      <c r="D430" s="185"/>
      <c r="E430" s="185"/>
      <c r="F430" s="185"/>
      <c r="G430" s="185"/>
      <c r="H430" s="185"/>
      <c r="I430" s="14"/>
      <c r="L430" s="7"/>
      <c r="M430" s="7"/>
    </row>
    <row r="431" spans="2:13" x14ac:dyDescent="0.25">
      <c r="B431" s="1" t="s">
        <v>4696</v>
      </c>
      <c r="C431" s="288" t="s">
        <v>1220</v>
      </c>
      <c r="D431" s="288"/>
      <c r="E431" s="288" t="s">
        <v>6103</v>
      </c>
      <c r="F431" s="288"/>
      <c r="G431" s="288" t="s">
        <v>3482</v>
      </c>
      <c r="H431" s="288"/>
      <c r="I431" s="14"/>
      <c r="L431" s="7"/>
      <c r="M431" s="7"/>
    </row>
    <row r="432" spans="2:13" x14ac:dyDescent="0.25">
      <c r="B432" s="1"/>
      <c r="C432" s="198"/>
      <c r="D432" s="198"/>
      <c r="E432" s="198"/>
      <c r="F432" s="198"/>
      <c r="G432" s="198"/>
      <c r="H432" s="198"/>
      <c r="I432" s="14"/>
      <c r="L432" s="7"/>
      <c r="M432" s="7"/>
    </row>
    <row r="433" spans="2:13" x14ac:dyDescent="0.25">
      <c r="B433" s="11" t="s">
        <v>4677</v>
      </c>
      <c r="C433" s="230" t="s">
        <v>1220</v>
      </c>
      <c r="D433" s="230"/>
      <c r="E433" s="230" t="s">
        <v>6103</v>
      </c>
      <c r="F433" s="230"/>
      <c r="G433" s="230" t="s">
        <v>3482</v>
      </c>
      <c r="H433" s="230"/>
      <c r="I433" s="14"/>
      <c r="L433" s="7"/>
      <c r="M433" s="7"/>
    </row>
    <row r="434" spans="2:13" x14ac:dyDescent="0.25">
      <c r="B434" s="11"/>
      <c r="C434" s="185"/>
      <c r="D434" s="185"/>
      <c r="E434" s="185"/>
      <c r="F434" s="185"/>
      <c r="G434" s="185"/>
      <c r="H434" s="185"/>
      <c r="I434" s="14"/>
      <c r="J434" s="14"/>
      <c r="L434" s="7"/>
      <c r="M434" s="7"/>
    </row>
    <row r="435" spans="2:13" x14ac:dyDescent="0.25">
      <c r="B435" s="1" t="s">
        <v>6104</v>
      </c>
      <c r="C435" s="288" t="s">
        <v>6105</v>
      </c>
      <c r="D435" s="288"/>
      <c r="E435" s="288" t="s">
        <v>6106</v>
      </c>
      <c r="F435" s="288"/>
      <c r="G435" s="288" t="s">
        <v>460</v>
      </c>
      <c r="H435" s="288"/>
      <c r="I435" s="14"/>
      <c r="J435" s="14"/>
      <c r="L435" s="7"/>
      <c r="M435" s="7"/>
    </row>
    <row r="436" spans="2:13" x14ac:dyDescent="0.25">
      <c r="B436" s="1"/>
      <c r="C436" s="198"/>
      <c r="D436" s="198"/>
      <c r="E436" s="198"/>
      <c r="F436" s="198"/>
      <c r="G436" s="198"/>
      <c r="H436" s="198"/>
      <c r="I436" s="14"/>
      <c r="J436" s="14"/>
      <c r="L436" s="7"/>
      <c r="M436" s="7"/>
    </row>
    <row r="437" spans="2:13" x14ac:dyDescent="0.25">
      <c r="B437" s="11" t="s">
        <v>6107</v>
      </c>
      <c r="C437" s="230" t="s">
        <v>3482</v>
      </c>
      <c r="D437" s="230"/>
      <c r="E437" s="230" t="s">
        <v>1928</v>
      </c>
      <c r="F437" s="230"/>
      <c r="G437" s="230" t="s">
        <v>4669</v>
      </c>
      <c r="H437" s="230"/>
      <c r="I437" s="14"/>
      <c r="J437" s="14"/>
      <c r="L437" s="7"/>
      <c r="M437" s="7"/>
    </row>
    <row r="438" spans="2:13" x14ac:dyDescent="0.25">
      <c r="B438" s="11"/>
      <c r="C438" s="185"/>
      <c r="D438" s="185"/>
      <c r="E438" s="185"/>
      <c r="F438" s="185"/>
      <c r="G438" s="185"/>
      <c r="H438" s="185"/>
      <c r="I438" s="14"/>
      <c r="J438" s="14"/>
      <c r="L438" s="7"/>
      <c r="M438" s="7"/>
    </row>
    <row r="439" spans="2:13" x14ac:dyDescent="0.25">
      <c r="B439" s="1" t="s">
        <v>518</v>
      </c>
      <c r="C439" s="288" t="s">
        <v>1654</v>
      </c>
      <c r="D439" s="288"/>
      <c r="E439" s="288" t="s">
        <v>1654</v>
      </c>
      <c r="F439" s="288"/>
      <c r="G439" s="288" t="s">
        <v>1654</v>
      </c>
      <c r="H439" s="288"/>
      <c r="I439" s="14"/>
      <c r="J439" s="14"/>
      <c r="L439" s="7"/>
      <c r="M439" s="7"/>
    </row>
    <row r="440" spans="2:13" x14ac:dyDescent="0.25">
      <c r="B440" s="1"/>
      <c r="C440" s="198"/>
      <c r="D440" s="198"/>
      <c r="E440" s="198"/>
      <c r="F440" s="198"/>
      <c r="G440" s="198"/>
      <c r="H440" s="198"/>
      <c r="I440" s="14"/>
      <c r="J440" s="14"/>
      <c r="L440" s="7"/>
      <c r="M440" s="7"/>
    </row>
    <row r="441" spans="2:13" x14ac:dyDescent="0.25">
      <c r="B441" s="11" t="s">
        <v>6108</v>
      </c>
      <c r="C441" s="230" t="s">
        <v>1654</v>
      </c>
      <c r="D441" s="230"/>
      <c r="E441" s="230" t="s">
        <v>1654</v>
      </c>
      <c r="F441" s="230"/>
      <c r="G441" s="230" t="s">
        <v>1654</v>
      </c>
      <c r="H441" s="230"/>
      <c r="I441" s="14"/>
      <c r="J441" s="14"/>
      <c r="L441" s="7"/>
      <c r="M441" s="7"/>
    </row>
    <row r="442" spans="2:13" ht="15.75" thickBot="1" x14ac:dyDescent="0.3">
      <c r="B442" s="11"/>
      <c r="C442" s="185"/>
      <c r="D442" s="185"/>
      <c r="E442" s="185"/>
      <c r="F442" s="185"/>
      <c r="G442" s="185"/>
      <c r="H442" s="185"/>
      <c r="I442" s="14"/>
      <c r="J442" s="14"/>
      <c r="L442" s="7"/>
      <c r="M442" s="7"/>
    </row>
    <row r="443" spans="2:13" x14ac:dyDescent="0.25">
      <c r="B443" s="217" t="s">
        <v>401</v>
      </c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9"/>
    </row>
    <row r="444" spans="2:13" x14ac:dyDescent="0.25">
      <c r="B444" s="3" t="s">
        <v>402</v>
      </c>
      <c r="C444" s="232" t="s">
        <v>403</v>
      </c>
      <c r="D444" s="232"/>
      <c r="E444" s="232" t="s">
        <v>467</v>
      </c>
      <c r="F444" s="232"/>
      <c r="G444" s="232" t="s">
        <v>405</v>
      </c>
      <c r="H444" s="232"/>
      <c r="I444" s="232" t="s">
        <v>406</v>
      </c>
      <c r="J444" s="232"/>
      <c r="K444" s="234" t="s">
        <v>468</v>
      </c>
      <c r="L444" s="235"/>
      <c r="M444" s="236"/>
    </row>
    <row r="445" spans="2:13" ht="15.75" thickBot="1" x14ac:dyDescent="0.3">
      <c r="B445" s="5"/>
      <c r="C445" s="237"/>
      <c r="D445" s="238"/>
      <c r="E445" s="239"/>
      <c r="F445" s="238"/>
      <c r="G445" s="240"/>
      <c r="H445" s="240"/>
      <c r="I445" s="241"/>
      <c r="J445" s="241"/>
      <c r="K445" s="242"/>
      <c r="L445" s="243"/>
      <c r="M445" s="244"/>
    </row>
    <row r="446" spans="2:13" ht="15.75" thickBot="1" x14ac:dyDescent="0.3">
      <c r="B446" s="1"/>
      <c r="C446" s="1"/>
      <c r="D446" s="1"/>
      <c r="E446" s="1"/>
      <c r="F446" s="1"/>
      <c r="G446" s="1"/>
      <c r="H446" s="1"/>
    </row>
    <row r="447" spans="2:13" x14ac:dyDescent="0.25">
      <c r="B447" s="217" t="s">
        <v>408</v>
      </c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9"/>
    </row>
    <row r="448" spans="2:13" x14ac:dyDescent="0.25">
      <c r="B448" s="3" t="s">
        <v>6109</v>
      </c>
      <c r="C448" s="232" t="s">
        <v>5845</v>
      </c>
      <c r="D448" s="232"/>
      <c r="E448" s="232" t="s">
        <v>4306</v>
      </c>
      <c r="F448" s="232"/>
      <c r="G448" s="232" t="s">
        <v>3889</v>
      </c>
      <c r="H448" s="232"/>
      <c r="I448" s="232" t="s">
        <v>4935</v>
      </c>
      <c r="J448" s="232"/>
      <c r="K448" s="232" t="s">
        <v>6110</v>
      </c>
      <c r="L448" s="232"/>
      <c r="M448" s="269"/>
    </row>
    <row r="449" spans="2:13" ht="15.75" thickBot="1" x14ac:dyDescent="0.3">
      <c r="B449" s="5" t="s">
        <v>415</v>
      </c>
      <c r="C449" s="240" t="s">
        <v>6111</v>
      </c>
      <c r="D449" s="240"/>
      <c r="E449" s="240" t="s">
        <v>6112</v>
      </c>
      <c r="F449" s="240"/>
      <c r="G449" s="240" t="s">
        <v>3975</v>
      </c>
      <c r="H449" s="240"/>
      <c r="I449" s="240" t="s">
        <v>6113</v>
      </c>
      <c r="J449" s="240"/>
      <c r="K449" s="240" t="s">
        <v>2257</v>
      </c>
      <c r="L449" s="240"/>
      <c r="M449" s="267"/>
    </row>
    <row r="451" spans="2:13" ht="23.25" x14ac:dyDescent="0.35">
      <c r="B451" s="29" t="s">
        <v>334</v>
      </c>
      <c r="C451" s="229" t="s">
        <v>292</v>
      </c>
      <c r="D451" s="229"/>
      <c r="E451" s="229"/>
      <c r="F451" s="229"/>
      <c r="G451" s="229"/>
      <c r="H451" s="229"/>
      <c r="I451" s="229"/>
      <c r="J451" s="229"/>
    </row>
    <row r="452" spans="2:13" ht="18.75" x14ac:dyDescent="0.3">
      <c r="B452" s="12" t="s">
        <v>335</v>
      </c>
      <c r="C452" s="195" t="s">
        <v>5835</v>
      </c>
      <c r="D452" s="228" t="s">
        <v>427</v>
      </c>
      <c r="E452" s="228"/>
      <c r="F452" s="1" t="s">
        <v>3637</v>
      </c>
      <c r="L452" s="12" t="s">
        <v>339</v>
      </c>
      <c r="M452" s="6" t="s">
        <v>291</v>
      </c>
    </row>
    <row r="454" spans="2:13" x14ac:dyDescent="0.25">
      <c r="B454" s="2" t="s">
        <v>341</v>
      </c>
      <c r="C454" s="250" t="s">
        <v>4346</v>
      </c>
      <c r="D454" s="250"/>
      <c r="E454" s="250" t="s">
        <v>4347</v>
      </c>
      <c r="F454" s="250"/>
      <c r="G454" s="250" t="s">
        <v>4348</v>
      </c>
      <c r="H454" s="250"/>
      <c r="I454" s="228" t="s">
        <v>345</v>
      </c>
      <c r="J454" s="228"/>
      <c r="K454" s="228"/>
      <c r="L454" s="228"/>
      <c r="M454" s="228"/>
    </row>
    <row r="455" spans="2:13" x14ac:dyDescent="0.25">
      <c r="C455" s="251"/>
      <c r="D455" s="251"/>
      <c r="K455" s="7"/>
      <c r="L455" s="7"/>
      <c r="M455" s="7"/>
    </row>
    <row r="456" spans="2:13" x14ac:dyDescent="0.25">
      <c r="B456" s="11" t="s">
        <v>1458</v>
      </c>
      <c r="C456" s="231" t="s">
        <v>1194</v>
      </c>
      <c r="D456" s="231"/>
      <c r="E456" s="231" t="s">
        <v>602</v>
      </c>
      <c r="F456" s="231"/>
      <c r="G456" s="231" t="s">
        <v>603</v>
      </c>
      <c r="H456" s="231"/>
      <c r="I456" s="14" t="s">
        <v>6114</v>
      </c>
      <c r="L456" s="7"/>
      <c r="M456" s="7"/>
    </row>
    <row r="457" spans="2:13" x14ac:dyDescent="0.25">
      <c r="B457" s="11"/>
      <c r="C457" s="11"/>
      <c r="D457" s="11"/>
      <c r="E457" s="11"/>
      <c r="F457" s="185"/>
      <c r="G457" s="11"/>
      <c r="H457" s="185"/>
      <c r="I457" s="14" t="s">
        <v>6115</v>
      </c>
      <c r="L457" s="7"/>
      <c r="M457" s="7"/>
    </row>
    <row r="458" spans="2:13" x14ac:dyDescent="0.25">
      <c r="B458" s="1" t="s">
        <v>6116</v>
      </c>
      <c r="C458" s="296" t="s">
        <v>392</v>
      </c>
      <c r="D458" s="296"/>
      <c r="E458" s="296" t="s">
        <v>789</v>
      </c>
      <c r="F458" s="296"/>
      <c r="G458" s="296" t="s">
        <v>1497</v>
      </c>
      <c r="H458" s="296"/>
      <c r="I458" s="14"/>
      <c r="L458" s="7"/>
      <c r="M458" s="7"/>
    </row>
    <row r="459" spans="2:13" x14ac:dyDescent="0.25">
      <c r="B459" s="1"/>
      <c r="C459" s="1"/>
      <c r="D459" s="195"/>
      <c r="E459" s="283"/>
      <c r="F459" s="283"/>
      <c r="G459" s="283"/>
      <c r="H459" s="283"/>
      <c r="I459" s="14"/>
      <c r="L459" s="7"/>
      <c r="M459" s="7"/>
    </row>
    <row r="460" spans="2:13" x14ac:dyDescent="0.25">
      <c r="B460" s="11" t="s">
        <v>6117</v>
      </c>
      <c r="C460" s="230" t="s">
        <v>744</v>
      </c>
      <c r="D460" s="230"/>
      <c r="E460" s="230" t="s">
        <v>487</v>
      </c>
      <c r="F460" s="230"/>
      <c r="G460" s="230" t="s">
        <v>972</v>
      </c>
      <c r="H460" s="230"/>
      <c r="I460" s="14"/>
      <c r="L460" s="7"/>
      <c r="M460" s="7"/>
    </row>
    <row r="461" spans="2:13" x14ac:dyDescent="0.25">
      <c r="B461" s="11"/>
      <c r="C461" s="185"/>
      <c r="D461" s="185"/>
      <c r="E461" s="185"/>
      <c r="F461" s="185"/>
      <c r="G461" s="185"/>
      <c r="H461" s="185"/>
      <c r="I461" s="14"/>
      <c r="L461" s="7"/>
      <c r="M461" s="7"/>
    </row>
    <row r="462" spans="2:13" x14ac:dyDescent="0.25">
      <c r="B462" s="1" t="s">
        <v>6118</v>
      </c>
      <c r="C462" s="288" t="s">
        <v>491</v>
      </c>
      <c r="D462" s="288"/>
      <c r="E462" s="288" t="s">
        <v>742</v>
      </c>
      <c r="F462" s="288"/>
      <c r="G462" s="288" t="s">
        <v>1989</v>
      </c>
      <c r="H462" s="288"/>
      <c r="I462" s="14"/>
      <c r="L462" s="7"/>
      <c r="M462" s="7"/>
    </row>
    <row r="463" spans="2:13" x14ac:dyDescent="0.25">
      <c r="B463" s="1"/>
      <c r="C463" s="198"/>
      <c r="D463" s="198"/>
      <c r="E463" s="198"/>
      <c r="F463" s="198"/>
      <c r="G463" s="198"/>
      <c r="H463" s="198"/>
      <c r="I463" s="14"/>
      <c r="L463" s="7"/>
      <c r="M463" s="7"/>
    </row>
    <row r="464" spans="2:13" x14ac:dyDescent="0.25">
      <c r="B464" s="11" t="s">
        <v>518</v>
      </c>
      <c r="C464" s="230" t="s">
        <v>1654</v>
      </c>
      <c r="D464" s="230"/>
      <c r="E464" s="230" t="s">
        <v>1654</v>
      </c>
      <c r="F464" s="230"/>
      <c r="G464" s="230" t="s">
        <v>1654</v>
      </c>
      <c r="H464" s="230"/>
      <c r="I464" s="14"/>
      <c r="L464" s="7"/>
      <c r="M464" s="7"/>
    </row>
    <row r="465" spans="2:13" x14ac:dyDescent="0.25">
      <c r="B465" s="11"/>
      <c r="C465" s="185"/>
      <c r="D465" s="185"/>
      <c r="E465" s="185"/>
      <c r="F465" s="185"/>
      <c r="G465" s="185"/>
      <c r="H465" s="185"/>
      <c r="I465" s="14"/>
      <c r="J465" s="14"/>
      <c r="L465" s="7"/>
      <c r="M465" s="7"/>
    </row>
    <row r="466" spans="2:13" x14ac:dyDescent="0.25">
      <c r="B466" s="1" t="s">
        <v>6108</v>
      </c>
      <c r="C466" s="288" t="s">
        <v>2250</v>
      </c>
      <c r="D466" s="288"/>
      <c r="E466" s="288" t="s">
        <v>486</v>
      </c>
      <c r="F466" s="288"/>
      <c r="G466" s="288" t="s">
        <v>744</v>
      </c>
      <c r="H466" s="288"/>
      <c r="I466" s="14"/>
      <c r="J466" s="14"/>
      <c r="L466" s="7"/>
      <c r="M466" s="7"/>
    </row>
    <row r="467" spans="2:13" x14ac:dyDescent="0.25">
      <c r="B467" s="1"/>
      <c r="C467" s="198"/>
      <c r="D467" s="198"/>
      <c r="E467" s="198"/>
      <c r="F467" s="198"/>
      <c r="G467" s="198"/>
      <c r="H467" s="198"/>
      <c r="I467" s="14"/>
      <c r="J467" s="14"/>
      <c r="L467" s="7"/>
      <c r="M467" s="7"/>
    </row>
    <row r="468" spans="2:13" x14ac:dyDescent="0.25">
      <c r="B468" s="217" t="s">
        <v>401</v>
      </c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9"/>
    </row>
    <row r="469" spans="2:13" x14ac:dyDescent="0.25">
      <c r="B469" s="3" t="s">
        <v>402</v>
      </c>
      <c r="C469" s="232" t="s">
        <v>403</v>
      </c>
      <c r="D469" s="232"/>
      <c r="E469" s="232" t="s">
        <v>467</v>
      </c>
      <c r="F469" s="232"/>
      <c r="G469" s="232" t="s">
        <v>405</v>
      </c>
      <c r="H469" s="232"/>
      <c r="I469" s="232" t="s">
        <v>406</v>
      </c>
      <c r="J469" s="232"/>
      <c r="K469" s="234" t="s">
        <v>468</v>
      </c>
      <c r="L469" s="235"/>
      <c r="M469" s="236"/>
    </row>
    <row r="470" spans="2:13" x14ac:dyDescent="0.25">
      <c r="B470" s="5"/>
      <c r="C470" s="237"/>
      <c r="D470" s="238"/>
      <c r="E470" s="239"/>
      <c r="F470" s="238"/>
      <c r="G470" s="240"/>
      <c r="H470" s="240"/>
      <c r="I470" s="241"/>
      <c r="J470" s="241"/>
      <c r="K470" s="242"/>
      <c r="L470" s="243"/>
      <c r="M470" s="244"/>
    </row>
    <row r="471" spans="2:13" x14ac:dyDescent="0.25">
      <c r="B471" s="1"/>
      <c r="C471" s="1"/>
      <c r="D471" s="1"/>
      <c r="E471" s="1"/>
      <c r="F471" s="1"/>
      <c r="G471" s="1"/>
      <c r="H471" s="1"/>
    </row>
    <row r="472" spans="2:13" x14ac:dyDescent="0.25">
      <c r="B472" s="217" t="s">
        <v>408</v>
      </c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9"/>
    </row>
    <row r="473" spans="2:13" x14ac:dyDescent="0.25">
      <c r="B473" s="122" t="s">
        <v>6119</v>
      </c>
      <c r="C473" s="220" t="s">
        <v>6120</v>
      </c>
      <c r="D473" s="220"/>
      <c r="E473" s="330" t="s">
        <v>6121</v>
      </c>
      <c r="F473" s="330"/>
      <c r="G473" s="221" t="s">
        <v>692</v>
      </c>
      <c r="H473" s="221"/>
      <c r="I473" s="220" t="s">
        <v>6122</v>
      </c>
      <c r="J473" s="220"/>
      <c r="K473" s="220" t="s">
        <v>6123</v>
      </c>
      <c r="L473" s="220"/>
      <c r="M473" s="222"/>
    </row>
    <row r="474" spans="2:13" x14ac:dyDescent="0.25">
      <c r="B474" s="124" t="s">
        <v>3866</v>
      </c>
      <c r="C474" s="245" t="s">
        <v>6124</v>
      </c>
      <c r="D474" s="246"/>
      <c r="E474" s="247" t="s">
        <v>567</v>
      </c>
      <c r="F474" s="247"/>
      <c r="G474" s="247" t="s">
        <v>5960</v>
      </c>
      <c r="H474" s="247"/>
      <c r="I474" s="248" t="s">
        <v>4220</v>
      </c>
      <c r="J474" s="248"/>
      <c r="K474" s="247" t="s">
        <v>6125</v>
      </c>
      <c r="L474" s="247"/>
      <c r="M474" s="249"/>
    </row>
    <row r="475" spans="2:13" x14ac:dyDescent="0.25">
      <c r="B475" s="168" t="s">
        <v>3560</v>
      </c>
      <c r="C475" s="257" t="s">
        <v>422</v>
      </c>
      <c r="D475" s="258"/>
      <c r="E475" s="259" t="s">
        <v>6126</v>
      </c>
      <c r="F475" s="259"/>
      <c r="G475" s="260" t="s">
        <v>573</v>
      </c>
      <c r="H475" s="260"/>
      <c r="I475" s="260" t="s">
        <v>574</v>
      </c>
      <c r="J475" s="260"/>
      <c r="K475" s="260" t="s">
        <v>575</v>
      </c>
      <c r="L475" s="260"/>
      <c r="M475" s="261"/>
    </row>
  </sheetData>
  <mergeCells count="798">
    <mergeCell ref="C474:D474"/>
    <mergeCell ref="E474:F474"/>
    <mergeCell ref="G474:H474"/>
    <mergeCell ref="I474:J474"/>
    <mergeCell ref="K474:M474"/>
    <mergeCell ref="C475:D475"/>
    <mergeCell ref="E475:F475"/>
    <mergeCell ref="G475:H475"/>
    <mergeCell ref="I475:J475"/>
    <mergeCell ref="K475:M475"/>
    <mergeCell ref="C470:D470"/>
    <mergeCell ref="E470:F470"/>
    <mergeCell ref="G470:H470"/>
    <mergeCell ref="I470:J470"/>
    <mergeCell ref="K470:M470"/>
    <mergeCell ref="B472:M472"/>
    <mergeCell ref="C473:D473"/>
    <mergeCell ref="E473:F473"/>
    <mergeCell ref="G473:H473"/>
    <mergeCell ref="I473:J473"/>
    <mergeCell ref="K473:M473"/>
    <mergeCell ref="B468:M468"/>
    <mergeCell ref="C469:D469"/>
    <mergeCell ref="E469:F469"/>
    <mergeCell ref="G469:H469"/>
    <mergeCell ref="I469:J469"/>
    <mergeCell ref="K469:M469"/>
    <mergeCell ref="C464:D464"/>
    <mergeCell ref="E464:F464"/>
    <mergeCell ref="G464:H464"/>
    <mergeCell ref="C466:D466"/>
    <mergeCell ref="E466:F466"/>
    <mergeCell ref="G466:H466"/>
    <mergeCell ref="C458:D458"/>
    <mergeCell ref="E458:F458"/>
    <mergeCell ref="G458:H458"/>
    <mergeCell ref="E459:F459"/>
    <mergeCell ref="G459:H459"/>
    <mergeCell ref="C460:D460"/>
    <mergeCell ref="E460:F460"/>
    <mergeCell ref="G460:H460"/>
    <mergeCell ref="C462:D462"/>
    <mergeCell ref="E462:F462"/>
    <mergeCell ref="G462:H462"/>
    <mergeCell ref="C451:J451"/>
    <mergeCell ref="D452:E452"/>
    <mergeCell ref="C454:D454"/>
    <mergeCell ref="E454:F454"/>
    <mergeCell ref="G454:H454"/>
    <mergeCell ref="I454:M454"/>
    <mergeCell ref="C455:D455"/>
    <mergeCell ref="C456:D456"/>
    <mergeCell ref="E456:F456"/>
    <mergeCell ref="G456:H456"/>
    <mergeCell ref="B447:M447"/>
    <mergeCell ref="C448:D448"/>
    <mergeCell ref="E448:F448"/>
    <mergeCell ref="G448:H448"/>
    <mergeCell ref="I448:J448"/>
    <mergeCell ref="K448:M448"/>
    <mergeCell ref="C449:D449"/>
    <mergeCell ref="E449:F449"/>
    <mergeCell ref="G449:H449"/>
    <mergeCell ref="I449:J449"/>
    <mergeCell ref="K449:M449"/>
    <mergeCell ref="B443:M443"/>
    <mergeCell ref="C444:D444"/>
    <mergeCell ref="E444:F444"/>
    <mergeCell ref="G444:H444"/>
    <mergeCell ref="I444:J444"/>
    <mergeCell ref="K444:M444"/>
    <mergeCell ref="C445:D445"/>
    <mergeCell ref="E445:F445"/>
    <mergeCell ref="G445:H445"/>
    <mergeCell ref="I445:J445"/>
    <mergeCell ref="K445:M445"/>
    <mergeCell ref="C439:D439"/>
    <mergeCell ref="E439:F439"/>
    <mergeCell ref="G439:H439"/>
    <mergeCell ref="C441:D441"/>
    <mergeCell ref="E441:F441"/>
    <mergeCell ref="G441:H441"/>
    <mergeCell ref="C433:D433"/>
    <mergeCell ref="E433:F433"/>
    <mergeCell ref="G433:H433"/>
    <mergeCell ref="C435:D435"/>
    <mergeCell ref="E435:F435"/>
    <mergeCell ref="G435:H435"/>
    <mergeCell ref="C437:D437"/>
    <mergeCell ref="E437:F437"/>
    <mergeCell ref="G437:H437"/>
    <mergeCell ref="C427:D427"/>
    <mergeCell ref="E427:F427"/>
    <mergeCell ref="G427:H427"/>
    <mergeCell ref="E428:F428"/>
    <mergeCell ref="G428:H428"/>
    <mergeCell ref="C429:D429"/>
    <mergeCell ref="E429:F429"/>
    <mergeCell ref="G429:H429"/>
    <mergeCell ref="C431:D431"/>
    <mergeCell ref="E431:F431"/>
    <mergeCell ref="G431:H431"/>
    <mergeCell ref="C420:J420"/>
    <mergeCell ref="D421:E421"/>
    <mergeCell ref="C423:D423"/>
    <mergeCell ref="E423:F423"/>
    <mergeCell ref="G423:H423"/>
    <mergeCell ref="I423:M423"/>
    <mergeCell ref="C424:D424"/>
    <mergeCell ref="C425:D425"/>
    <mergeCell ref="E425:F425"/>
    <mergeCell ref="G425:H425"/>
    <mergeCell ref="B416:M416"/>
    <mergeCell ref="C417:D417"/>
    <mergeCell ref="E417:F417"/>
    <mergeCell ref="G417:H417"/>
    <mergeCell ref="I417:J417"/>
    <mergeCell ref="K417:M417"/>
    <mergeCell ref="C418:D418"/>
    <mergeCell ref="E418:F418"/>
    <mergeCell ref="G418:H418"/>
    <mergeCell ref="I418:J418"/>
    <mergeCell ref="K418:M418"/>
    <mergeCell ref="B412:M412"/>
    <mergeCell ref="C413:D413"/>
    <mergeCell ref="E413:F413"/>
    <mergeCell ref="G413:H413"/>
    <mergeCell ref="I413:J413"/>
    <mergeCell ref="K413:M413"/>
    <mergeCell ref="C414:D414"/>
    <mergeCell ref="E414:F414"/>
    <mergeCell ref="G414:H414"/>
    <mergeCell ref="I414:J414"/>
    <mergeCell ref="K414:M414"/>
    <mergeCell ref="C406:D406"/>
    <mergeCell ref="E406:F406"/>
    <mergeCell ref="C408:D408"/>
    <mergeCell ref="E408:F408"/>
    <mergeCell ref="C410:D410"/>
    <mergeCell ref="E410:F410"/>
    <mergeCell ref="D398:E398"/>
    <mergeCell ref="C400:D400"/>
    <mergeCell ref="E400:F400"/>
    <mergeCell ref="G400:K400"/>
    <mergeCell ref="C402:D402"/>
    <mergeCell ref="E402:F402"/>
    <mergeCell ref="C404:D404"/>
    <mergeCell ref="E404:F404"/>
    <mergeCell ref="C395:D395"/>
    <mergeCell ref="E395:F395"/>
    <mergeCell ref="G395:H395"/>
    <mergeCell ref="I395:J395"/>
    <mergeCell ref="K395:M395"/>
    <mergeCell ref="C397:J397"/>
    <mergeCell ref="C391:D391"/>
    <mergeCell ref="E391:F391"/>
    <mergeCell ref="G391:H391"/>
    <mergeCell ref="I391:J391"/>
    <mergeCell ref="K391:M391"/>
    <mergeCell ref="B393:M393"/>
    <mergeCell ref="C394:D394"/>
    <mergeCell ref="E394:F394"/>
    <mergeCell ref="G394:H394"/>
    <mergeCell ref="I394:J394"/>
    <mergeCell ref="K394:M394"/>
    <mergeCell ref="C385:D385"/>
    <mergeCell ref="E385:F385"/>
    <mergeCell ref="G385:H385"/>
    <mergeCell ref="B389:M389"/>
    <mergeCell ref="C390:D390"/>
    <mergeCell ref="E390:F390"/>
    <mergeCell ref="G390:H390"/>
    <mergeCell ref="I390:J390"/>
    <mergeCell ref="K390:M390"/>
    <mergeCell ref="C387:D387"/>
    <mergeCell ref="E387:F387"/>
    <mergeCell ref="G387:H387"/>
    <mergeCell ref="C379:D379"/>
    <mergeCell ref="E379:F379"/>
    <mergeCell ref="G379:H379"/>
    <mergeCell ref="C381:D381"/>
    <mergeCell ref="E381:F381"/>
    <mergeCell ref="G381:H381"/>
    <mergeCell ref="C383:D383"/>
    <mergeCell ref="E383:F383"/>
    <mergeCell ref="G383:H383"/>
    <mergeCell ref="C373:D373"/>
    <mergeCell ref="E373:F373"/>
    <mergeCell ref="G373:H373"/>
    <mergeCell ref="C375:D375"/>
    <mergeCell ref="E375:F375"/>
    <mergeCell ref="G375:H375"/>
    <mergeCell ref="C377:D377"/>
    <mergeCell ref="E377:F377"/>
    <mergeCell ref="G377:H377"/>
    <mergeCell ref="C366:D366"/>
    <mergeCell ref="E366:F366"/>
    <mergeCell ref="G366:H366"/>
    <mergeCell ref="I366:J366"/>
    <mergeCell ref="K366:M366"/>
    <mergeCell ref="C368:J368"/>
    <mergeCell ref="D369:E369"/>
    <mergeCell ref="C371:D371"/>
    <mergeCell ref="E371:F371"/>
    <mergeCell ref="G371:H371"/>
    <mergeCell ref="I371:M371"/>
    <mergeCell ref="C362:D362"/>
    <mergeCell ref="E362:F362"/>
    <mergeCell ref="G362:H362"/>
    <mergeCell ref="I362:J362"/>
    <mergeCell ref="K362:M362"/>
    <mergeCell ref="B364:M364"/>
    <mergeCell ref="C365:D365"/>
    <mergeCell ref="E365:F365"/>
    <mergeCell ref="G365:H365"/>
    <mergeCell ref="I365:J365"/>
    <mergeCell ref="K365:M365"/>
    <mergeCell ref="C352:D352"/>
    <mergeCell ref="E352:F352"/>
    <mergeCell ref="G352:H352"/>
    <mergeCell ref="B360:M360"/>
    <mergeCell ref="C361:D361"/>
    <mergeCell ref="E361:F361"/>
    <mergeCell ref="G361:H361"/>
    <mergeCell ref="I361:J361"/>
    <mergeCell ref="K361:M361"/>
    <mergeCell ref="C354:D354"/>
    <mergeCell ref="E354:F354"/>
    <mergeCell ref="G354:H354"/>
    <mergeCell ref="C356:D356"/>
    <mergeCell ref="E356:F356"/>
    <mergeCell ref="G356:H356"/>
    <mergeCell ref="C358:D358"/>
    <mergeCell ref="E358:F358"/>
    <mergeCell ref="G358:H358"/>
    <mergeCell ref="C346:D346"/>
    <mergeCell ref="E346:F346"/>
    <mergeCell ref="G346:H346"/>
    <mergeCell ref="C348:D348"/>
    <mergeCell ref="E348:F348"/>
    <mergeCell ref="G348:H348"/>
    <mergeCell ref="C350:D350"/>
    <mergeCell ref="E350:F350"/>
    <mergeCell ref="G350:H350"/>
    <mergeCell ref="C338:D338"/>
    <mergeCell ref="E338:F338"/>
    <mergeCell ref="G338:H338"/>
    <mergeCell ref="I338:J338"/>
    <mergeCell ref="K338:M338"/>
    <mergeCell ref="C341:J341"/>
    <mergeCell ref="D342:E342"/>
    <mergeCell ref="C344:D344"/>
    <mergeCell ref="E344:F344"/>
    <mergeCell ref="G344:H344"/>
    <mergeCell ref="I344:M344"/>
    <mergeCell ref="C339:D339"/>
    <mergeCell ref="E339:F339"/>
    <mergeCell ref="G339:H339"/>
    <mergeCell ref="I339:J339"/>
    <mergeCell ref="K339:M339"/>
    <mergeCell ref="G320:H320"/>
    <mergeCell ref="G322:H322"/>
    <mergeCell ref="G324:H324"/>
    <mergeCell ref="G326:H326"/>
    <mergeCell ref="G328:H328"/>
    <mergeCell ref="G330:H330"/>
    <mergeCell ref="G332:H332"/>
    <mergeCell ref="G334:H334"/>
    <mergeCell ref="I312:M312"/>
    <mergeCell ref="C330:D330"/>
    <mergeCell ref="E330:F330"/>
    <mergeCell ref="C332:D332"/>
    <mergeCell ref="E332:F332"/>
    <mergeCell ref="C334:D334"/>
    <mergeCell ref="E334:F334"/>
    <mergeCell ref="B336:M336"/>
    <mergeCell ref="C337:D337"/>
    <mergeCell ref="E337:F337"/>
    <mergeCell ref="G337:H337"/>
    <mergeCell ref="I337:J337"/>
    <mergeCell ref="K337:M337"/>
    <mergeCell ref="C320:D320"/>
    <mergeCell ref="E320:F320"/>
    <mergeCell ref="C322:D322"/>
    <mergeCell ref="E322:F322"/>
    <mergeCell ref="C324:D324"/>
    <mergeCell ref="E324:F324"/>
    <mergeCell ref="C326:D326"/>
    <mergeCell ref="E326:F326"/>
    <mergeCell ref="C328:D328"/>
    <mergeCell ref="E328:F328"/>
    <mergeCell ref="C312:D312"/>
    <mergeCell ref="E312:F312"/>
    <mergeCell ref="C314:D314"/>
    <mergeCell ref="E314:F314"/>
    <mergeCell ref="C316:D316"/>
    <mergeCell ref="E316:F316"/>
    <mergeCell ref="C318:D318"/>
    <mergeCell ref="E318:F318"/>
    <mergeCell ref="C309:J309"/>
    <mergeCell ref="D310:E310"/>
    <mergeCell ref="G312:H312"/>
    <mergeCell ref="G314:H314"/>
    <mergeCell ref="G316:H316"/>
    <mergeCell ref="G318:H318"/>
    <mergeCell ref="B304:M304"/>
    <mergeCell ref="C305:D305"/>
    <mergeCell ref="E305:F305"/>
    <mergeCell ref="G305:H305"/>
    <mergeCell ref="I305:J305"/>
    <mergeCell ref="K305:M305"/>
    <mergeCell ref="C306:D306"/>
    <mergeCell ref="E306:F306"/>
    <mergeCell ref="G306:H306"/>
    <mergeCell ref="I306:J306"/>
    <mergeCell ref="K306:M306"/>
    <mergeCell ref="C300:D300"/>
    <mergeCell ref="C302:D302"/>
    <mergeCell ref="C290:D290"/>
    <mergeCell ref="C292:D292"/>
    <mergeCell ref="C294:D294"/>
    <mergeCell ref="C296:D296"/>
    <mergeCell ref="C298:D298"/>
    <mergeCell ref="B281:M281"/>
    <mergeCell ref="C282:D282"/>
    <mergeCell ref="E282:F282"/>
    <mergeCell ref="G282:H282"/>
    <mergeCell ref="I282:J282"/>
    <mergeCell ref="K282:M282"/>
    <mergeCell ref="C283:D283"/>
    <mergeCell ref="E283:F283"/>
    <mergeCell ref="G283:H283"/>
    <mergeCell ref="I283:J283"/>
    <mergeCell ref="K283:M283"/>
    <mergeCell ref="B277:M277"/>
    <mergeCell ref="C285:J285"/>
    <mergeCell ref="D286:E286"/>
    <mergeCell ref="C288:D288"/>
    <mergeCell ref="E288:I288"/>
    <mergeCell ref="C289:D289"/>
    <mergeCell ref="C271:D271"/>
    <mergeCell ref="C273:D273"/>
    <mergeCell ref="C275:D275"/>
    <mergeCell ref="C278:D278"/>
    <mergeCell ref="E278:F278"/>
    <mergeCell ref="G278:H278"/>
    <mergeCell ref="I278:J278"/>
    <mergeCell ref="K278:M278"/>
    <mergeCell ref="C279:D279"/>
    <mergeCell ref="E279:F279"/>
    <mergeCell ref="G279:H279"/>
    <mergeCell ref="I279:J279"/>
    <mergeCell ref="K279:M279"/>
    <mergeCell ref="D263:E263"/>
    <mergeCell ref="C265:D265"/>
    <mergeCell ref="E265:I265"/>
    <mergeCell ref="C266:D266"/>
    <mergeCell ref="C267:D267"/>
    <mergeCell ref="C269:D269"/>
    <mergeCell ref="C262:L262"/>
    <mergeCell ref="B258:M258"/>
    <mergeCell ref="C259:D259"/>
    <mergeCell ref="E259:F259"/>
    <mergeCell ref="G259:H259"/>
    <mergeCell ref="I259:J259"/>
    <mergeCell ref="K259:M259"/>
    <mergeCell ref="C260:D260"/>
    <mergeCell ref="E260:F260"/>
    <mergeCell ref="G260:H260"/>
    <mergeCell ref="I260:J260"/>
    <mergeCell ref="K260:M260"/>
    <mergeCell ref="C255:D255"/>
    <mergeCell ref="E255:F255"/>
    <mergeCell ref="G255:H255"/>
    <mergeCell ref="I255:J255"/>
    <mergeCell ref="K255:M255"/>
    <mergeCell ref="C256:D256"/>
    <mergeCell ref="E256:F256"/>
    <mergeCell ref="G256:H256"/>
    <mergeCell ref="I256:J256"/>
    <mergeCell ref="K256:M256"/>
    <mergeCell ref="C240:D240"/>
    <mergeCell ref="E240:F240"/>
    <mergeCell ref="C242:D242"/>
    <mergeCell ref="E242:F242"/>
    <mergeCell ref="C244:D244"/>
    <mergeCell ref="E244:F244"/>
    <mergeCell ref="C246:D246"/>
    <mergeCell ref="E246:F246"/>
    <mergeCell ref="B254:M254"/>
    <mergeCell ref="C248:D248"/>
    <mergeCell ref="E248:F248"/>
    <mergeCell ref="C250:D250"/>
    <mergeCell ref="E250:F250"/>
    <mergeCell ref="C252:D252"/>
    <mergeCell ref="E252:F252"/>
    <mergeCell ref="C231:D231"/>
    <mergeCell ref="C232:D232"/>
    <mergeCell ref="E232:F232"/>
    <mergeCell ref="C234:D234"/>
    <mergeCell ref="E234:F234"/>
    <mergeCell ref="C236:D236"/>
    <mergeCell ref="E236:F236"/>
    <mergeCell ref="C238:D238"/>
    <mergeCell ref="E238:F238"/>
    <mergeCell ref="C225:D225"/>
    <mergeCell ref="E225:F225"/>
    <mergeCell ref="G225:H225"/>
    <mergeCell ref="I225:J225"/>
    <mergeCell ref="K225:M225"/>
    <mergeCell ref="C227:J227"/>
    <mergeCell ref="D228:E228"/>
    <mergeCell ref="C230:D230"/>
    <mergeCell ref="E230:F230"/>
    <mergeCell ref="G230:K230"/>
    <mergeCell ref="C221:D221"/>
    <mergeCell ref="E221:F221"/>
    <mergeCell ref="G221:H221"/>
    <mergeCell ref="I221:J221"/>
    <mergeCell ref="K221:M221"/>
    <mergeCell ref="B223:M223"/>
    <mergeCell ref="C224:D224"/>
    <mergeCell ref="E224:F224"/>
    <mergeCell ref="G224:H224"/>
    <mergeCell ref="I224:J224"/>
    <mergeCell ref="K224:M224"/>
    <mergeCell ref="B219:M219"/>
    <mergeCell ref="C220:D220"/>
    <mergeCell ref="E220:F220"/>
    <mergeCell ref="G220:H220"/>
    <mergeCell ref="I220:J220"/>
    <mergeCell ref="K220:M220"/>
    <mergeCell ref="C213:D213"/>
    <mergeCell ref="E213:F213"/>
    <mergeCell ref="G213:H213"/>
    <mergeCell ref="C215:D215"/>
    <mergeCell ref="E215:F215"/>
    <mergeCell ref="G215:H215"/>
    <mergeCell ref="C217:D217"/>
    <mergeCell ref="E217:F217"/>
    <mergeCell ref="G217:H217"/>
    <mergeCell ref="C207:D207"/>
    <mergeCell ref="E207:F207"/>
    <mergeCell ref="G207:H207"/>
    <mergeCell ref="C209:D209"/>
    <mergeCell ref="E209:F209"/>
    <mergeCell ref="G209:H209"/>
    <mergeCell ref="C211:D211"/>
    <mergeCell ref="E211:F211"/>
    <mergeCell ref="G211:H211"/>
    <mergeCell ref="C201:D201"/>
    <mergeCell ref="E201:F201"/>
    <mergeCell ref="G201:H201"/>
    <mergeCell ref="E202:F202"/>
    <mergeCell ref="G202:H202"/>
    <mergeCell ref="C203:D203"/>
    <mergeCell ref="E203:F203"/>
    <mergeCell ref="G203:H203"/>
    <mergeCell ref="C205:D205"/>
    <mergeCell ref="E205:F205"/>
    <mergeCell ref="G205:H205"/>
    <mergeCell ref="C194:J194"/>
    <mergeCell ref="D195:E195"/>
    <mergeCell ref="C197:D197"/>
    <mergeCell ref="E197:F197"/>
    <mergeCell ref="G197:H197"/>
    <mergeCell ref="I197:M197"/>
    <mergeCell ref="C198:D198"/>
    <mergeCell ref="C199:D199"/>
    <mergeCell ref="E199:F199"/>
    <mergeCell ref="G199:H199"/>
    <mergeCell ref="B189:M189"/>
    <mergeCell ref="C190:D190"/>
    <mergeCell ref="E190:F190"/>
    <mergeCell ref="G190:H190"/>
    <mergeCell ref="I190:J190"/>
    <mergeCell ref="K190:M190"/>
    <mergeCell ref="C192:D192"/>
    <mergeCell ref="E192:F192"/>
    <mergeCell ref="G192:H192"/>
    <mergeCell ref="I192:J192"/>
    <mergeCell ref="K192:M192"/>
    <mergeCell ref="C191:D191"/>
    <mergeCell ref="E191:F191"/>
    <mergeCell ref="G191:H191"/>
    <mergeCell ref="I191:J191"/>
    <mergeCell ref="K191:M191"/>
    <mergeCell ref="B185:M185"/>
    <mergeCell ref="C186:D186"/>
    <mergeCell ref="E186:F186"/>
    <mergeCell ref="G186:H186"/>
    <mergeCell ref="I186:J186"/>
    <mergeCell ref="K186:M186"/>
    <mergeCell ref="C187:D187"/>
    <mergeCell ref="E187:F187"/>
    <mergeCell ref="G187:H187"/>
    <mergeCell ref="I187:J187"/>
    <mergeCell ref="K187:M187"/>
    <mergeCell ref="C177:D177"/>
    <mergeCell ref="E177:F177"/>
    <mergeCell ref="C179:D179"/>
    <mergeCell ref="E179:F179"/>
    <mergeCell ref="C181:D181"/>
    <mergeCell ref="E181:F181"/>
    <mergeCell ref="C183:D183"/>
    <mergeCell ref="E183:F183"/>
    <mergeCell ref="C168:J168"/>
    <mergeCell ref="D169:E169"/>
    <mergeCell ref="C171:D171"/>
    <mergeCell ref="E171:F171"/>
    <mergeCell ref="G171:K171"/>
    <mergeCell ref="C172:D172"/>
    <mergeCell ref="C173:D173"/>
    <mergeCell ref="E173:F173"/>
    <mergeCell ref="C175:D175"/>
    <mergeCell ref="E175:F175"/>
    <mergeCell ref="B164:M164"/>
    <mergeCell ref="C165:D165"/>
    <mergeCell ref="E165:F165"/>
    <mergeCell ref="G165:H165"/>
    <mergeCell ref="I165:J165"/>
    <mergeCell ref="K165:M165"/>
    <mergeCell ref="C166:D166"/>
    <mergeCell ref="E166:F166"/>
    <mergeCell ref="G166:H166"/>
    <mergeCell ref="I166:J166"/>
    <mergeCell ref="K166:M166"/>
    <mergeCell ref="B160:M160"/>
    <mergeCell ref="C161:D161"/>
    <mergeCell ref="E161:F161"/>
    <mergeCell ref="G161:H161"/>
    <mergeCell ref="I161:J161"/>
    <mergeCell ref="K161:M161"/>
    <mergeCell ref="C162:D162"/>
    <mergeCell ref="E162:F162"/>
    <mergeCell ref="G162:H162"/>
    <mergeCell ref="I162:J162"/>
    <mergeCell ref="K162:M162"/>
    <mergeCell ref="C154:D154"/>
    <mergeCell ref="E154:F154"/>
    <mergeCell ref="C156:D156"/>
    <mergeCell ref="E156:F156"/>
    <mergeCell ref="C158:D158"/>
    <mergeCell ref="E158:F158"/>
    <mergeCell ref="C148:D148"/>
    <mergeCell ref="E148:F148"/>
    <mergeCell ref="C150:D150"/>
    <mergeCell ref="E150:F150"/>
    <mergeCell ref="C152:D152"/>
    <mergeCell ref="E152:F152"/>
    <mergeCell ref="C143:D143"/>
    <mergeCell ref="C144:D144"/>
    <mergeCell ref="E144:F144"/>
    <mergeCell ref="C146:D146"/>
    <mergeCell ref="E146:F146"/>
    <mergeCell ref="C137:D137"/>
    <mergeCell ref="E137:F137"/>
    <mergeCell ref="G137:H137"/>
    <mergeCell ref="I137:J137"/>
    <mergeCell ref="K137:M137"/>
    <mergeCell ref="C139:J139"/>
    <mergeCell ref="D140:E140"/>
    <mergeCell ref="C142:D142"/>
    <mergeCell ref="E142:F142"/>
    <mergeCell ref="G142:K142"/>
    <mergeCell ref="C133:D133"/>
    <mergeCell ref="E133:F133"/>
    <mergeCell ref="G133:H133"/>
    <mergeCell ref="I133:J133"/>
    <mergeCell ref="K133:M133"/>
    <mergeCell ref="B135:M135"/>
    <mergeCell ref="C136:D136"/>
    <mergeCell ref="E136:F136"/>
    <mergeCell ref="G136:H136"/>
    <mergeCell ref="I136:J136"/>
    <mergeCell ref="K136:M136"/>
    <mergeCell ref="C125:D125"/>
    <mergeCell ref="E125:F125"/>
    <mergeCell ref="G125:H125"/>
    <mergeCell ref="C127:D127"/>
    <mergeCell ref="E127:F127"/>
    <mergeCell ref="G127:H127"/>
    <mergeCell ref="B131:M131"/>
    <mergeCell ref="C132:D132"/>
    <mergeCell ref="E132:F132"/>
    <mergeCell ref="G132:H132"/>
    <mergeCell ref="I132:J132"/>
    <mergeCell ref="K132:M132"/>
    <mergeCell ref="C129:D129"/>
    <mergeCell ref="E129:F129"/>
    <mergeCell ref="G129:H129"/>
    <mergeCell ref="G118:H118"/>
    <mergeCell ref="C119:D119"/>
    <mergeCell ref="E119:F119"/>
    <mergeCell ref="G119:H119"/>
    <mergeCell ref="C121:D121"/>
    <mergeCell ref="E121:F121"/>
    <mergeCell ref="G121:H121"/>
    <mergeCell ref="C123:D123"/>
    <mergeCell ref="E123:F123"/>
    <mergeCell ref="G123:H123"/>
    <mergeCell ref="B105:M105"/>
    <mergeCell ref="C106:D106"/>
    <mergeCell ref="E106:F106"/>
    <mergeCell ref="G106:H106"/>
    <mergeCell ref="I106:J106"/>
    <mergeCell ref="K106:M106"/>
    <mergeCell ref="C107:D107"/>
    <mergeCell ref="E107:F107"/>
    <mergeCell ref="G107:H107"/>
    <mergeCell ref="I107:J107"/>
    <mergeCell ref="K107:M107"/>
    <mergeCell ref="C101:D101"/>
    <mergeCell ref="C103:D103"/>
    <mergeCell ref="C95:D95"/>
    <mergeCell ref="C97:D97"/>
    <mergeCell ref="C99:D99"/>
    <mergeCell ref="C89:D89"/>
    <mergeCell ref="C91:D91"/>
    <mergeCell ref="C93:D93"/>
    <mergeCell ref="C82:J82"/>
    <mergeCell ref="D83:E83"/>
    <mergeCell ref="C85:D85"/>
    <mergeCell ref="E85:I85"/>
    <mergeCell ref="C86:D86"/>
    <mergeCell ref="C87:D87"/>
    <mergeCell ref="C79:D79"/>
    <mergeCell ref="E79:F79"/>
    <mergeCell ref="G79:H79"/>
    <mergeCell ref="I79:J79"/>
    <mergeCell ref="K79:M79"/>
    <mergeCell ref="C80:D80"/>
    <mergeCell ref="E80:F80"/>
    <mergeCell ref="G80:H80"/>
    <mergeCell ref="I80:J80"/>
    <mergeCell ref="K80:M80"/>
    <mergeCell ref="C76:D76"/>
    <mergeCell ref="E76:F76"/>
    <mergeCell ref="G76:H76"/>
    <mergeCell ref="I76:J76"/>
    <mergeCell ref="K76:M76"/>
    <mergeCell ref="B78:M78"/>
    <mergeCell ref="G72:H72"/>
    <mergeCell ref="B74:M74"/>
    <mergeCell ref="C75:D75"/>
    <mergeCell ref="E75:F75"/>
    <mergeCell ref="G75:H75"/>
    <mergeCell ref="I75:J75"/>
    <mergeCell ref="K75:M75"/>
    <mergeCell ref="C68:D68"/>
    <mergeCell ref="E68:F68"/>
    <mergeCell ref="G68:H68"/>
    <mergeCell ref="C70:D70"/>
    <mergeCell ref="E70:F70"/>
    <mergeCell ref="G70:H70"/>
    <mergeCell ref="C64:D64"/>
    <mergeCell ref="E64:F64"/>
    <mergeCell ref="G64:H64"/>
    <mergeCell ref="C66:D66"/>
    <mergeCell ref="E66:F66"/>
    <mergeCell ref="G66:H66"/>
    <mergeCell ref="C60:D60"/>
    <mergeCell ref="E60:F60"/>
    <mergeCell ref="G60:H60"/>
    <mergeCell ref="C62:D62"/>
    <mergeCell ref="E62:F62"/>
    <mergeCell ref="G62:H62"/>
    <mergeCell ref="C56:D56"/>
    <mergeCell ref="E56:F56"/>
    <mergeCell ref="G56:H56"/>
    <mergeCell ref="C58:D58"/>
    <mergeCell ref="E58:F58"/>
    <mergeCell ref="G58:H58"/>
    <mergeCell ref="E26:F26"/>
    <mergeCell ref="E28:F28"/>
    <mergeCell ref="C39:D39"/>
    <mergeCell ref="E51:F51"/>
    <mergeCell ref="G51:H51"/>
    <mergeCell ref="C52:D52"/>
    <mergeCell ref="E52:F52"/>
    <mergeCell ref="G52:H52"/>
    <mergeCell ref="C54:D54"/>
    <mergeCell ref="E54:F54"/>
    <mergeCell ref="G54:H54"/>
    <mergeCell ref="C47:D47"/>
    <mergeCell ref="C48:D48"/>
    <mergeCell ref="E48:F48"/>
    <mergeCell ref="G48:H48"/>
    <mergeCell ref="C50:D50"/>
    <mergeCell ref="E50:F50"/>
    <mergeCell ref="G50:H50"/>
    <mergeCell ref="K39:M39"/>
    <mergeCell ref="C41:D41"/>
    <mergeCell ref="E41:F41"/>
    <mergeCell ref="G41:H41"/>
    <mergeCell ref="I41:J41"/>
    <mergeCell ref="K41:M41"/>
    <mergeCell ref="C40:D40"/>
    <mergeCell ref="E40:F40"/>
    <mergeCell ref="G40:H40"/>
    <mergeCell ref="I40:J40"/>
    <mergeCell ref="K40:M40"/>
    <mergeCell ref="C1:J1"/>
    <mergeCell ref="D2:E2"/>
    <mergeCell ref="C4:D4"/>
    <mergeCell ref="E4:F4"/>
    <mergeCell ref="G4:H4"/>
    <mergeCell ref="I4:M4"/>
    <mergeCell ref="C14:D14"/>
    <mergeCell ref="E14:F14"/>
    <mergeCell ref="G14:H14"/>
    <mergeCell ref="E9:F9"/>
    <mergeCell ref="G9:H9"/>
    <mergeCell ref="C10:D10"/>
    <mergeCell ref="E10:F10"/>
    <mergeCell ref="G10:H10"/>
    <mergeCell ref="C12:D12"/>
    <mergeCell ref="E12:F12"/>
    <mergeCell ref="G12:H12"/>
    <mergeCell ref="C5:D5"/>
    <mergeCell ref="C6:D6"/>
    <mergeCell ref="E6:F6"/>
    <mergeCell ref="G6:H6"/>
    <mergeCell ref="C8:D8"/>
    <mergeCell ref="E8:F8"/>
    <mergeCell ref="G8:H8"/>
    <mergeCell ref="K36:M36"/>
    <mergeCell ref="B38:M38"/>
    <mergeCell ref="C18:D18"/>
    <mergeCell ref="E18:F18"/>
    <mergeCell ref="G18:H18"/>
    <mergeCell ref="B34:M34"/>
    <mergeCell ref="C35:D35"/>
    <mergeCell ref="E35:F35"/>
    <mergeCell ref="G35:H35"/>
    <mergeCell ref="I35:J35"/>
    <mergeCell ref="K35:M35"/>
    <mergeCell ref="C20:D20"/>
    <mergeCell ref="C32:D32"/>
    <mergeCell ref="E32:F32"/>
    <mergeCell ref="G32:H32"/>
    <mergeCell ref="E30:F30"/>
    <mergeCell ref="G20:H20"/>
    <mergeCell ref="G22:H22"/>
    <mergeCell ref="G24:H24"/>
    <mergeCell ref="G26:H26"/>
    <mergeCell ref="G28:H28"/>
    <mergeCell ref="G30:H30"/>
    <mergeCell ref="C22:D22"/>
    <mergeCell ref="C24:D24"/>
    <mergeCell ref="G117:H117"/>
    <mergeCell ref="E118:F118"/>
    <mergeCell ref="C16:D16"/>
    <mergeCell ref="E16:F16"/>
    <mergeCell ref="G16:H16"/>
    <mergeCell ref="C36:D36"/>
    <mergeCell ref="E36:F36"/>
    <mergeCell ref="G36:H36"/>
    <mergeCell ref="I36:J36"/>
    <mergeCell ref="E39:F39"/>
    <mergeCell ref="G39:H39"/>
    <mergeCell ref="I39:J39"/>
    <mergeCell ref="C43:J43"/>
    <mergeCell ref="D44:E44"/>
    <mergeCell ref="C46:D46"/>
    <mergeCell ref="E46:F46"/>
    <mergeCell ref="G46:H46"/>
    <mergeCell ref="I46:M46"/>
    <mergeCell ref="C26:D26"/>
    <mergeCell ref="C28:D28"/>
    <mergeCell ref="C30:D30"/>
    <mergeCell ref="E20:F20"/>
    <mergeCell ref="E22:F22"/>
    <mergeCell ref="E24:F24"/>
    <mergeCell ref="E5:F5"/>
    <mergeCell ref="G5:H5"/>
    <mergeCell ref="C108:D108"/>
    <mergeCell ref="E108:F108"/>
    <mergeCell ref="G108:H108"/>
    <mergeCell ref="I108:J108"/>
    <mergeCell ref="K108:M108"/>
    <mergeCell ref="C307:D307"/>
    <mergeCell ref="E307:F307"/>
    <mergeCell ref="G307:H307"/>
    <mergeCell ref="I307:J307"/>
    <mergeCell ref="K307:M307"/>
    <mergeCell ref="C110:J110"/>
    <mergeCell ref="D111:E111"/>
    <mergeCell ref="C113:D113"/>
    <mergeCell ref="E113:F113"/>
    <mergeCell ref="G113:H113"/>
    <mergeCell ref="I113:M113"/>
    <mergeCell ref="C114:D114"/>
    <mergeCell ref="C115:D115"/>
    <mergeCell ref="E115:F115"/>
    <mergeCell ref="G115:H115"/>
    <mergeCell ref="C117:D117"/>
    <mergeCell ref="E117:F117"/>
  </mergeCells>
  <pageMargins left="0.25" right="0.25" top="0.25" bottom="0.25" header="0.3" footer="0.3"/>
  <pageSetup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8979-CBF6-4B20-A7CF-C2C278841DB9}">
  <sheetPr>
    <pageSetUpPr fitToPage="1"/>
  </sheetPr>
  <dimension ref="B1:O368"/>
  <sheetViews>
    <sheetView topLeftCell="A348" workbookViewId="0">
      <selection activeCell="N348" sqref="N1:S1048576"/>
    </sheetView>
  </sheetViews>
  <sheetFormatPr defaultRowHeight="15" x14ac:dyDescent="0.25"/>
  <cols>
    <col min="1" max="1" width="5.140625" customWidth="1"/>
    <col min="2" max="2" width="26.28515625" customWidth="1"/>
    <col min="3" max="3" width="9.140625" customWidth="1"/>
    <col min="14" max="19" width="0" hidden="1" customWidth="1"/>
  </cols>
  <sheetData>
    <row r="1" spans="2:13" ht="23.25" x14ac:dyDescent="0.35">
      <c r="B1" s="29" t="s">
        <v>334</v>
      </c>
      <c r="C1" s="295" t="s">
        <v>234</v>
      </c>
      <c r="D1" s="295"/>
      <c r="E1" s="295"/>
      <c r="F1" s="295"/>
      <c r="G1" s="295"/>
      <c r="H1" s="295"/>
      <c r="I1" s="295"/>
      <c r="J1" s="295"/>
      <c r="K1" s="295"/>
    </row>
    <row r="2" spans="2:13" ht="18.75" x14ac:dyDescent="0.3">
      <c r="B2" s="12" t="s">
        <v>335</v>
      </c>
      <c r="C2" s="1" t="s">
        <v>231</v>
      </c>
      <c r="E2" s="228" t="s">
        <v>427</v>
      </c>
      <c r="F2" s="228"/>
      <c r="G2" s="1" t="s">
        <v>6127</v>
      </c>
      <c r="L2" s="12" t="s">
        <v>339</v>
      </c>
      <c r="M2" s="6" t="s">
        <v>6128</v>
      </c>
    </row>
    <row r="4" spans="2:13" x14ac:dyDescent="0.25">
      <c r="B4" s="2" t="s">
        <v>341</v>
      </c>
      <c r="C4" s="322" t="s">
        <v>6129</v>
      </c>
      <c r="D4" s="322"/>
      <c r="E4" s="228" t="s">
        <v>345</v>
      </c>
      <c r="F4" s="228"/>
      <c r="G4" s="228"/>
      <c r="H4" s="228"/>
      <c r="I4" s="228"/>
    </row>
    <row r="5" spans="2:13" x14ac:dyDescent="0.25">
      <c r="C5" s="14"/>
      <c r="D5" s="14"/>
    </row>
    <row r="6" spans="2:13" x14ac:dyDescent="0.25">
      <c r="B6" s="13" t="s">
        <v>848</v>
      </c>
      <c r="C6" s="252" t="s">
        <v>1443</v>
      </c>
      <c r="D6" s="252"/>
      <c r="E6" s="14" t="s">
        <v>6130</v>
      </c>
      <c r="F6" s="14"/>
    </row>
    <row r="7" spans="2:13" x14ac:dyDescent="0.25">
      <c r="B7" s="13"/>
      <c r="C7" s="188"/>
      <c r="D7" s="188"/>
      <c r="E7" s="16"/>
      <c r="F7" s="16"/>
    </row>
    <row r="8" spans="2:13" x14ac:dyDescent="0.25">
      <c r="B8" s="14" t="s">
        <v>889</v>
      </c>
      <c r="C8" s="253" t="s">
        <v>513</v>
      </c>
      <c r="D8" s="253"/>
      <c r="E8" s="14"/>
      <c r="F8" s="14"/>
    </row>
    <row r="9" spans="2:13" x14ac:dyDescent="0.25">
      <c r="B9" s="14"/>
      <c r="C9" s="253"/>
      <c r="D9" s="253"/>
      <c r="E9" s="14"/>
      <c r="F9" s="14"/>
    </row>
    <row r="10" spans="2:13" x14ac:dyDescent="0.25">
      <c r="B10" s="13" t="s">
        <v>1452</v>
      </c>
      <c r="C10" s="252" t="s">
        <v>3835</v>
      </c>
      <c r="D10" s="252"/>
      <c r="E10" s="14"/>
      <c r="F10" s="14"/>
    </row>
    <row r="11" spans="2:13" x14ac:dyDescent="0.25">
      <c r="B11" s="13"/>
      <c r="C11" s="188"/>
      <c r="D11" s="188"/>
      <c r="E11" s="14"/>
      <c r="F11" s="14"/>
    </row>
    <row r="12" spans="2:13" x14ac:dyDescent="0.25">
      <c r="B12" s="14" t="s">
        <v>1396</v>
      </c>
      <c r="C12" s="253" t="s">
        <v>3835</v>
      </c>
      <c r="D12" s="253"/>
      <c r="E12" s="14"/>
      <c r="F12" s="14"/>
    </row>
    <row r="13" spans="2:13" x14ac:dyDescent="0.25">
      <c r="B13" s="14"/>
      <c r="C13" s="189"/>
      <c r="D13" s="189"/>
      <c r="E13" s="14"/>
      <c r="F13" s="14"/>
    </row>
    <row r="14" spans="2:13" x14ac:dyDescent="0.25">
      <c r="B14" s="13" t="s">
        <v>3334</v>
      </c>
      <c r="C14" s="252" t="s">
        <v>2062</v>
      </c>
      <c r="D14" s="252"/>
      <c r="E14" s="14"/>
      <c r="F14" s="14"/>
    </row>
    <row r="15" spans="2:13" x14ac:dyDescent="0.25">
      <c r="B15" s="13"/>
      <c r="C15" s="188"/>
      <c r="D15" s="188"/>
      <c r="E15" s="14"/>
      <c r="F15" s="14"/>
    </row>
    <row r="16" spans="2:13" x14ac:dyDescent="0.25">
      <c r="B16" s="14" t="s">
        <v>518</v>
      </c>
      <c r="C16" s="253" t="s">
        <v>3835</v>
      </c>
      <c r="D16" s="253"/>
      <c r="E16" s="14"/>
      <c r="F16" s="14"/>
    </row>
    <row r="17" spans="2:13" ht="15.75" thickBot="1" x14ac:dyDescent="0.3">
      <c r="B17" s="14"/>
      <c r="C17" s="253"/>
      <c r="D17" s="253"/>
      <c r="E17" s="14"/>
      <c r="F17" s="14"/>
    </row>
    <row r="18" spans="2:13" x14ac:dyDescent="0.25">
      <c r="B18" s="217" t="s">
        <v>408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</row>
    <row r="19" spans="2:13" x14ac:dyDescent="0.25">
      <c r="B19" s="3" t="s">
        <v>6131</v>
      </c>
      <c r="C19" s="232" t="s">
        <v>6132</v>
      </c>
      <c r="D19" s="232"/>
      <c r="E19" s="268" t="s">
        <v>6133</v>
      </c>
      <c r="F19" s="268"/>
      <c r="G19" s="268" t="s">
        <v>6134</v>
      </c>
      <c r="H19" s="268"/>
      <c r="I19" s="232" t="s">
        <v>6135</v>
      </c>
      <c r="J19" s="232"/>
      <c r="K19" s="232" t="s">
        <v>6136</v>
      </c>
      <c r="L19" s="232"/>
      <c r="M19" s="269"/>
    </row>
    <row r="20" spans="2:13" ht="15.75" thickBot="1" x14ac:dyDescent="0.3">
      <c r="B20" s="5" t="s">
        <v>3866</v>
      </c>
      <c r="C20" s="237" t="s">
        <v>6137</v>
      </c>
      <c r="D20" s="238"/>
      <c r="E20" s="240" t="s">
        <v>6138</v>
      </c>
      <c r="F20" s="240"/>
      <c r="G20" s="240" t="s">
        <v>6139</v>
      </c>
      <c r="H20" s="240"/>
      <c r="I20" s="240" t="s">
        <v>569</v>
      </c>
      <c r="J20" s="240"/>
      <c r="K20" s="240" t="s">
        <v>6140</v>
      </c>
      <c r="L20" s="240"/>
      <c r="M20" s="267"/>
    </row>
    <row r="22" spans="2:13" ht="23.25" x14ac:dyDescent="0.35">
      <c r="B22" s="29" t="s">
        <v>334</v>
      </c>
      <c r="C22" s="295" t="s">
        <v>246</v>
      </c>
      <c r="D22" s="295"/>
      <c r="E22" s="295"/>
      <c r="F22" s="295"/>
      <c r="G22" s="295"/>
      <c r="H22" s="295"/>
      <c r="I22" s="295"/>
      <c r="J22" s="295"/>
      <c r="K22" s="295"/>
    </row>
    <row r="23" spans="2:13" ht="18.75" x14ac:dyDescent="0.3">
      <c r="B23" s="12" t="s">
        <v>335</v>
      </c>
      <c r="C23" s="1" t="s">
        <v>231</v>
      </c>
      <c r="E23" s="228" t="s">
        <v>427</v>
      </c>
      <c r="F23" s="228"/>
      <c r="G23" s="1" t="s">
        <v>6127</v>
      </c>
      <c r="L23" s="12" t="s">
        <v>339</v>
      </c>
      <c r="M23" s="6" t="s">
        <v>6141</v>
      </c>
    </row>
    <row r="25" spans="2:13" x14ac:dyDescent="0.25">
      <c r="B25" s="2" t="s">
        <v>341</v>
      </c>
      <c r="C25" s="322" t="s">
        <v>6129</v>
      </c>
      <c r="D25" s="322"/>
      <c r="E25" s="228" t="s">
        <v>345</v>
      </c>
      <c r="F25" s="228"/>
      <c r="G25" s="228"/>
      <c r="H25" s="228"/>
      <c r="I25" s="228"/>
    </row>
    <row r="26" spans="2:13" x14ac:dyDescent="0.25">
      <c r="C26" s="14"/>
      <c r="D26" s="14"/>
    </row>
    <row r="27" spans="2:13" x14ac:dyDescent="0.25">
      <c r="B27" s="13" t="s">
        <v>1149</v>
      </c>
      <c r="C27" s="252" t="s">
        <v>1443</v>
      </c>
      <c r="D27" s="252"/>
      <c r="E27" s="14" t="s">
        <v>6130</v>
      </c>
      <c r="F27" s="14"/>
    </row>
    <row r="28" spans="2:13" x14ac:dyDescent="0.25">
      <c r="B28" s="13"/>
      <c r="C28" s="188"/>
      <c r="D28" s="188"/>
      <c r="E28" s="16"/>
      <c r="F28" s="16"/>
    </row>
    <row r="29" spans="2:13" x14ac:dyDescent="0.25">
      <c r="B29" s="14" t="s">
        <v>4400</v>
      </c>
      <c r="C29" s="253" t="s">
        <v>486</v>
      </c>
      <c r="D29" s="253"/>
      <c r="E29" s="14"/>
      <c r="F29" s="14"/>
    </row>
    <row r="30" spans="2:13" x14ac:dyDescent="0.25">
      <c r="B30" s="14"/>
      <c r="C30" s="253"/>
      <c r="D30" s="253"/>
      <c r="E30" s="14"/>
      <c r="F30" s="14"/>
    </row>
    <row r="31" spans="2:13" x14ac:dyDescent="0.25">
      <c r="B31" s="13" t="s">
        <v>518</v>
      </c>
      <c r="C31" s="252" t="s">
        <v>3835</v>
      </c>
      <c r="D31" s="252"/>
      <c r="E31" s="14"/>
      <c r="F31" s="14"/>
    </row>
    <row r="32" spans="2:13" x14ac:dyDescent="0.25">
      <c r="B32" s="13"/>
      <c r="C32" s="188"/>
      <c r="D32" s="188"/>
      <c r="E32" s="14"/>
      <c r="F32" s="14"/>
    </row>
    <row r="33" spans="2:15" x14ac:dyDescent="0.25">
      <c r="B33" s="14" t="s">
        <v>1952</v>
      </c>
      <c r="C33" s="253" t="s">
        <v>3835</v>
      </c>
      <c r="D33" s="253"/>
      <c r="E33" s="14"/>
      <c r="F33" s="14"/>
    </row>
    <row r="34" spans="2:15" x14ac:dyDescent="0.25">
      <c r="B34" s="14"/>
      <c r="C34" s="189"/>
      <c r="D34" s="189"/>
      <c r="E34" s="14"/>
      <c r="F34" s="14"/>
    </row>
    <row r="35" spans="2:15" x14ac:dyDescent="0.25">
      <c r="B35" s="13" t="s">
        <v>1046</v>
      </c>
      <c r="C35" s="252" t="s">
        <v>3835</v>
      </c>
      <c r="D35" s="252"/>
      <c r="E35" s="14"/>
      <c r="F35" s="14"/>
    </row>
    <row r="36" spans="2:15" ht="15.75" thickBot="1" x14ac:dyDescent="0.3">
      <c r="B36" s="13"/>
      <c r="C36" s="188"/>
      <c r="D36" s="188"/>
      <c r="E36" s="14"/>
      <c r="F36" s="14"/>
    </row>
    <row r="37" spans="2:15" x14ac:dyDescent="0.25">
      <c r="B37" s="217" t="s">
        <v>408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9"/>
    </row>
    <row r="38" spans="2:15" x14ac:dyDescent="0.25">
      <c r="B38" s="3" t="s">
        <v>6142</v>
      </c>
      <c r="C38" s="232" t="s">
        <v>6143</v>
      </c>
      <c r="D38" s="232"/>
      <c r="E38" s="268" t="s">
        <v>6144</v>
      </c>
      <c r="F38" s="268"/>
      <c r="G38" s="268" t="s">
        <v>1475</v>
      </c>
      <c r="H38" s="268"/>
      <c r="I38" s="232" t="s">
        <v>6145</v>
      </c>
      <c r="J38" s="232"/>
      <c r="K38" s="232" t="s">
        <v>6146</v>
      </c>
      <c r="L38" s="232"/>
      <c r="M38" s="269"/>
    </row>
    <row r="39" spans="2:15" ht="15.75" thickBot="1" x14ac:dyDescent="0.3">
      <c r="B39" s="5" t="s">
        <v>3866</v>
      </c>
      <c r="C39" s="237" t="s">
        <v>6147</v>
      </c>
      <c r="D39" s="238"/>
      <c r="E39" s="240" t="s">
        <v>6148</v>
      </c>
      <c r="F39" s="240"/>
      <c r="G39" s="240" t="s">
        <v>6149</v>
      </c>
      <c r="H39" s="240"/>
      <c r="I39" s="240" t="s">
        <v>569</v>
      </c>
      <c r="J39" s="240"/>
      <c r="K39" s="240" t="s">
        <v>6150</v>
      </c>
      <c r="L39" s="240"/>
      <c r="M39" s="267"/>
    </row>
    <row r="41" spans="2:15" ht="23.25" x14ac:dyDescent="0.35">
      <c r="B41" s="29" t="s">
        <v>334</v>
      </c>
      <c r="C41" s="295" t="s">
        <v>237</v>
      </c>
      <c r="D41" s="295"/>
      <c r="E41" s="295"/>
      <c r="F41" s="295"/>
      <c r="G41" s="295"/>
      <c r="H41" s="295"/>
      <c r="I41" s="295"/>
      <c r="J41" s="295"/>
      <c r="K41" s="295"/>
    </row>
    <row r="42" spans="2:15" ht="18.75" x14ac:dyDescent="0.3">
      <c r="B42" s="12" t="s">
        <v>335</v>
      </c>
      <c r="C42" s="1" t="s">
        <v>231</v>
      </c>
      <c r="E42" s="228" t="s">
        <v>427</v>
      </c>
      <c r="F42" s="228"/>
      <c r="G42" s="1" t="s">
        <v>5897</v>
      </c>
      <c r="L42" s="12" t="s">
        <v>339</v>
      </c>
      <c r="M42" s="6" t="s">
        <v>6151</v>
      </c>
    </row>
    <row r="44" spans="2:15" x14ac:dyDescent="0.25">
      <c r="B44" s="2" t="s">
        <v>341</v>
      </c>
      <c r="C44" s="250" t="s">
        <v>342</v>
      </c>
      <c r="D44" s="250"/>
      <c r="E44" s="250" t="s">
        <v>343</v>
      </c>
      <c r="F44" s="250"/>
      <c r="G44" s="250" t="s">
        <v>954</v>
      </c>
      <c r="H44" s="250"/>
      <c r="I44" s="228" t="s">
        <v>345</v>
      </c>
      <c r="J44" s="228"/>
      <c r="K44" s="228"/>
      <c r="L44" s="228"/>
      <c r="M44" s="228"/>
      <c r="O44" s="101" t="s">
        <v>732</v>
      </c>
    </row>
    <row r="45" spans="2:15" x14ac:dyDescent="0.25">
      <c r="C45" s="14"/>
      <c r="D45" s="14"/>
    </row>
    <row r="46" spans="2:15" x14ac:dyDescent="0.25">
      <c r="B46" s="13" t="s">
        <v>6152</v>
      </c>
      <c r="C46" s="252" t="s">
        <v>6153</v>
      </c>
      <c r="D46" s="252"/>
      <c r="E46" s="252" t="s">
        <v>6154</v>
      </c>
      <c r="F46" s="252"/>
      <c r="G46" s="252" t="s">
        <v>6155</v>
      </c>
      <c r="H46" s="252"/>
      <c r="I46" s="14" t="s">
        <v>6156</v>
      </c>
      <c r="O46" s="98">
        <v>0.06</v>
      </c>
    </row>
    <row r="47" spans="2:15" x14ac:dyDescent="0.25">
      <c r="B47" s="13"/>
      <c r="C47" s="188"/>
      <c r="D47" s="188"/>
      <c r="E47" s="188"/>
      <c r="F47" s="188"/>
      <c r="G47" s="188"/>
      <c r="H47" s="188"/>
      <c r="O47" s="98"/>
    </row>
    <row r="48" spans="2:15" x14ac:dyDescent="0.25">
      <c r="B48" s="14" t="s">
        <v>865</v>
      </c>
      <c r="C48" s="253" t="s">
        <v>1194</v>
      </c>
      <c r="D48" s="253"/>
      <c r="E48" s="253" t="s">
        <v>1109</v>
      </c>
      <c r="F48" s="253"/>
      <c r="G48" s="253" t="s">
        <v>1024</v>
      </c>
      <c r="H48" s="253"/>
      <c r="O48" s="98">
        <v>0.01</v>
      </c>
    </row>
    <row r="49" spans="2:15" x14ac:dyDescent="0.25">
      <c r="B49" s="14"/>
      <c r="C49" s="253"/>
      <c r="D49" s="253"/>
      <c r="E49" s="253"/>
      <c r="F49" s="253"/>
      <c r="G49" s="253"/>
      <c r="H49" s="253"/>
      <c r="O49" s="98"/>
    </row>
    <row r="50" spans="2:15" x14ac:dyDescent="0.25">
      <c r="B50" s="13" t="s">
        <v>1125</v>
      </c>
      <c r="C50" s="252" t="s">
        <v>744</v>
      </c>
      <c r="D50" s="252"/>
      <c r="E50" s="252" t="s">
        <v>891</v>
      </c>
      <c r="F50" s="252"/>
      <c r="G50" s="252" t="s">
        <v>1630</v>
      </c>
      <c r="H50" s="252"/>
      <c r="O50" s="102">
        <v>2E-3</v>
      </c>
    </row>
    <row r="51" spans="2:15" x14ac:dyDescent="0.25">
      <c r="B51" s="13"/>
      <c r="C51" s="188"/>
      <c r="D51" s="188"/>
      <c r="E51" s="188"/>
      <c r="F51" s="188"/>
      <c r="G51" s="188"/>
      <c r="H51" s="188"/>
      <c r="O51" s="98"/>
    </row>
    <row r="52" spans="2:15" x14ac:dyDescent="0.25">
      <c r="B52" s="14" t="s">
        <v>1952</v>
      </c>
      <c r="C52" s="253" t="s">
        <v>513</v>
      </c>
      <c r="D52" s="253"/>
      <c r="E52" s="253" t="s">
        <v>1127</v>
      </c>
      <c r="F52" s="253"/>
      <c r="G52" s="253" t="s">
        <v>1128</v>
      </c>
      <c r="H52" s="253"/>
      <c r="O52" s="102">
        <v>6.9999999999999999E-4</v>
      </c>
    </row>
    <row r="53" spans="2:15" x14ac:dyDescent="0.25">
      <c r="B53" s="14"/>
      <c r="C53" s="189"/>
      <c r="D53" s="189"/>
      <c r="E53" s="189"/>
      <c r="F53" s="189"/>
      <c r="G53" s="189"/>
      <c r="H53" s="189"/>
      <c r="O53" s="98"/>
    </row>
    <row r="54" spans="2:15" x14ac:dyDescent="0.25">
      <c r="B54" s="13" t="s">
        <v>6157</v>
      </c>
      <c r="C54" s="252" t="s">
        <v>392</v>
      </c>
      <c r="D54" s="252"/>
      <c r="E54" s="252" t="s">
        <v>395</v>
      </c>
      <c r="F54" s="252"/>
      <c r="G54" s="252" t="s">
        <v>2165</v>
      </c>
      <c r="H54" s="252"/>
      <c r="O54" s="99">
        <v>6.4000000000000003E-3</v>
      </c>
    </row>
    <row r="55" spans="2:15" x14ac:dyDescent="0.25">
      <c r="B55" s="13"/>
      <c r="C55" s="188"/>
      <c r="D55" s="188"/>
      <c r="E55" s="188"/>
      <c r="F55" s="188"/>
      <c r="G55" s="188"/>
      <c r="H55" s="188"/>
      <c r="O55" s="98"/>
    </row>
    <row r="56" spans="2:15" x14ac:dyDescent="0.25">
      <c r="B56" s="274" t="s">
        <v>401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O56" s="100">
        <f>SUM(O46:O54)</f>
        <v>7.9100000000000004E-2</v>
      </c>
    </row>
    <row r="57" spans="2:15" x14ac:dyDescent="0.25">
      <c r="B57" s="3" t="s">
        <v>402</v>
      </c>
      <c r="C57" s="232" t="s">
        <v>403</v>
      </c>
      <c r="D57" s="232"/>
      <c r="E57" s="232" t="s">
        <v>467</v>
      </c>
      <c r="F57" s="232"/>
      <c r="G57" s="232" t="s">
        <v>405</v>
      </c>
      <c r="H57" s="232"/>
      <c r="I57" s="232" t="s">
        <v>406</v>
      </c>
      <c r="J57" s="232"/>
      <c r="K57" s="234" t="s">
        <v>468</v>
      </c>
      <c r="L57" s="235"/>
      <c r="M57" s="236"/>
      <c r="O57" s="98"/>
    </row>
    <row r="58" spans="2:15" x14ac:dyDescent="0.25">
      <c r="B58" s="5">
        <v>0.32</v>
      </c>
      <c r="C58" s="237"/>
      <c r="D58" s="238"/>
      <c r="E58" s="239"/>
      <c r="F58" s="238"/>
      <c r="G58" s="240"/>
      <c r="H58" s="240"/>
      <c r="I58" s="241"/>
      <c r="J58" s="241"/>
      <c r="K58" s="242"/>
      <c r="L58" s="243"/>
      <c r="M58" s="244"/>
      <c r="O58" s="98"/>
    </row>
    <row r="60" spans="2:15" x14ac:dyDescent="0.25">
      <c r="B60" s="217" t="s">
        <v>408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</row>
    <row r="61" spans="2:15" x14ac:dyDescent="0.25">
      <c r="B61" s="122" t="s">
        <v>6158</v>
      </c>
      <c r="C61" s="220" t="s">
        <v>6159</v>
      </c>
      <c r="D61" s="220"/>
      <c r="E61" s="221" t="s">
        <v>2139</v>
      </c>
      <c r="F61" s="221"/>
      <c r="G61" s="221" t="s">
        <v>6160</v>
      </c>
      <c r="H61" s="221"/>
      <c r="I61" s="220" t="s">
        <v>6161</v>
      </c>
      <c r="J61" s="220"/>
      <c r="K61" s="220" t="s">
        <v>6162</v>
      </c>
      <c r="L61" s="220"/>
      <c r="M61" s="222"/>
    </row>
    <row r="62" spans="2:15" x14ac:dyDescent="0.25">
      <c r="B62" s="123" t="s">
        <v>3866</v>
      </c>
      <c r="C62" s="225" t="s">
        <v>2257</v>
      </c>
      <c r="D62" s="226"/>
      <c r="E62" s="223" t="s">
        <v>6163</v>
      </c>
      <c r="F62" s="223"/>
      <c r="G62" s="223" t="s">
        <v>4647</v>
      </c>
      <c r="H62" s="223"/>
      <c r="I62" s="227" t="s">
        <v>569</v>
      </c>
      <c r="J62" s="227"/>
      <c r="K62" s="223" t="s">
        <v>6164</v>
      </c>
      <c r="L62" s="223"/>
      <c r="M62" s="224"/>
    </row>
    <row r="63" spans="2:15" x14ac:dyDescent="0.25">
      <c r="B63" s="123" t="s">
        <v>6165</v>
      </c>
      <c r="C63" s="286" t="s">
        <v>6166</v>
      </c>
      <c r="D63" s="287"/>
      <c r="E63" s="227" t="s">
        <v>6167</v>
      </c>
      <c r="F63" s="227"/>
      <c r="G63" s="223" t="s">
        <v>573</v>
      </c>
      <c r="H63" s="223"/>
      <c r="I63" s="223" t="s">
        <v>574</v>
      </c>
      <c r="J63" s="223"/>
      <c r="K63" s="223" t="s">
        <v>575</v>
      </c>
      <c r="L63" s="223"/>
      <c r="M63" s="224"/>
    </row>
    <row r="64" spans="2:15" ht="23.25" x14ac:dyDescent="0.35">
      <c r="B64" s="29" t="s">
        <v>334</v>
      </c>
      <c r="C64" s="295" t="s">
        <v>274</v>
      </c>
      <c r="D64" s="295"/>
      <c r="E64" s="295"/>
      <c r="F64" s="295"/>
      <c r="G64" s="295"/>
      <c r="H64" s="295"/>
      <c r="I64" s="295"/>
      <c r="J64" s="295"/>
      <c r="K64" s="295"/>
    </row>
    <row r="65" spans="2:13" ht="18.75" x14ac:dyDescent="0.3">
      <c r="B65" s="12" t="s">
        <v>335</v>
      </c>
      <c r="C65" s="1" t="s">
        <v>231</v>
      </c>
      <c r="E65" s="228" t="s">
        <v>427</v>
      </c>
      <c r="F65" s="228"/>
      <c r="G65" s="1" t="s">
        <v>5897</v>
      </c>
      <c r="L65" s="12" t="s">
        <v>339</v>
      </c>
      <c r="M65" s="6" t="s">
        <v>273</v>
      </c>
    </row>
    <row r="67" spans="2:13" x14ac:dyDescent="0.25">
      <c r="B67" s="2" t="s">
        <v>341</v>
      </c>
      <c r="C67" s="250" t="s">
        <v>6168</v>
      </c>
      <c r="D67" s="250"/>
      <c r="E67" s="250" t="s">
        <v>6169</v>
      </c>
      <c r="F67" s="250"/>
      <c r="G67" s="250" t="s">
        <v>6170</v>
      </c>
      <c r="H67" s="250"/>
      <c r="I67" s="228" t="s">
        <v>345</v>
      </c>
      <c r="J67" s="228"/>
      <c r="K67" s="228"/>
      <c r="L67" s="228"/>
      <c r="M67" s="228"/>
    </row>
    <row r="68" spans="2:13" x14ac:dyDescent="0.25">
      <c r="C68" s="14"/>
      <c r="D68" s="14"/>
    </row>
    <row r="69" spans="2:13" x14ac:dyDescent="0.25">
      <c r="B69" s="13" t="s">
        <v>454</v>
      </c>
      <c r="C69" s="231" t="s">
        <v>374</v>
      </c>
      <c r="D69" s="231"/>
      <c r="E69" s="231" t="s">
        <v>382</v>
      </c>
      <c r="F69" s="231"/>
      <c r="G69" s="231" t="s">
        <v>789</v>
      </c>
      <c r="H69" s="231"/>
      <c r="I69" s="14" t="s">
        <v>6171</v>
      </c>
      <c r="J69" s="14"/>
    </row>
    <row r="70" spans="2:13" x14ac:dyDescent="0.25">
      <c r="B70" s="13"/>
      <c r="C70" s="185"/>
      <c r="D70" s="11"/>
      <c r="E70" s="185"/>
      <c r="F70" s="11"/>
      <c r="G70" s="185"/>
      <c r="H70" s="11"/>
      <c r="I70" s="14" t="s">
        <v>4541</v>
      </c>
    </row>
    <row r="71" spans="2:13" x14ac:dyDescent="0.25">
      <c r="B71" s="14" t="s">
        <v>457</v>
      </c>
      <c r="C71" s="296" t="s">
        <v>391</v>
      </c>
      <c r="D71" s="296"/>
      <c r="E71" s="296" t="s">
        <v>1641</v>
      </c>
      <c r="F71" s="296"/>
      <c r="G71" s="296" t="s">
        <v>392</v>
      </c>
      <c r="H71" s="296"/>
      <c r="I71" s="14" t="s">
        <v>6172</v>
      </c>
    </row>
    <row r="72" spans="2:13" x14ac:dyDescent="0.25">
      <c r="B72" s="14"/>
      <c r="C72" s="195"/>
      <c r="D72" s="1"/>
      <c r="E72" s="195"/>
      <c r="F72" s="1"/>
      <c r="G72" s="195"/>
      <c r="H72" s="1"/>
      <c r="I72" s="14" t="s">
        <v>6173</v>
      </c>
    </row>
    <row r="73" spans="2:13" x14ac:dyDescent="0.25">
      <c r="B73" s="13" t="s">
        <v>515</v>
      </c>
      <c r="C73" s="230" t="s">
        <v>391</v>
      </c>
      <c r="D73" s="230"/>
      <c r="E73" s="230" t="s">
        <v>1641</v>
      </c>
      <c r="F73" s="230"/>
      <c r="G73" s="230" t="s">
        <v>392</v>
      </c>
      <c r="H73" s="230"/>
      <c r="I73" s="14" t="s">
        <v>6174</v>
      </c>
    </row>
    <row r="74" spans="2:13" x14ac:dyDescent="0.25">
      <c r="B74" s="13"/>
      <c r="C74" s="185"/>
      <c r="D74" s="11"/>
      <c r="E74" s="185"/>
      <c r="F74" s="11"/>
      <c r="G74" s="185"/>
      <c r="H74" s="11"/>
      <c r="I74" s="14" t="s">
        <v>6175</v>
      </c>
    </row>
    <row r="75" spans="2:13" x14ac:dyDescent="0.25">
      <c r="B75" s="14" t="s">
        <v>548</v>
      </c>
      <c r="C75" s="296" t="s">
        <v>6176</v>
      </c>
      <c r="D75" s="296"/>
      <c r="E75" s="296" t="s">
        <v>6177</v>
      </c>
      <c r="F75" s="296"/>
      <c r="G75" s="296" t="s">
        <v>6178</v>
      </c>
      <c r="H75" s="296"/>
      <c r="I75" s="14" t="s">
        <v>6179</v>
      </c>
    </row>
    <row r="76" spans="2:13" x14ac:dyDescent="0.25">
      <c r="B76" s="14"/>
      <c r="C76" s="296" t="s">
        <v>6180</v>
      </c>
      <c r="D76" s="296"/>
      <c r="E76" s="296" t="s">
        <v>6180</v>
      </c>
      <c r="F76" s="296"/>
      <c r="G76" s="296" t="s">
        <v>6180</v>
      </c>
      <c r="H76" s="296"/>
    </row>
    <row r="77" spans="2:13" x14ac:dyDescent="0.25">
      <c r="B77" s="13" t="s">
        <v>6108</v>
      </c>
      <c r="C77" s="231" t="s">
        <v>678</v>
      </c>
      <c r="D77" s="231"/>
      <c r="E77" s="323" t="s">
        <v>6181</v>
      </c>
      <c r="F77" s="323"/>
      <c r="G77" s="231" t="s">
        <v>390</v>
      </c>
      <c r="H77" s="231"/>
    </row>
    <row r="78" spans="2:13" x14ac:dyDescent="0.25">
      <c r="B78" s="13"/>
      <c r="C78" s="186"/>
      <c r="D78" s="186"/>
      <c r="E78" s="186"/>
      <c r="F78" s="186"/>
      <c r="G78" s="186"/>
      <c r="H78" s="186"/>
    </row>
    <row r="79" spans="2:13" x14ac:dyDescent="0.25">
      <c r="B79" s="14" t="s">
        <v>2122</v>
      </c>
      <c r="C79" s="296" t="s">
        <v>4404</v>
      </c>
      <c r="D79" s="296"/>
      <c r="E79" s="296" t="s">
        <v>6182</v>
      </c>
      <c r="F79" s="296"/>
      <c r="G79" s="296" t="s">
        <v>486</v>
      </c>
      <c r="H79" s="296"/>
    </row>
    <row r="80" spans="2:13" x14ac:dyDescent="0.25">
      <c r="B80" s="14"/>
      <c r="C80" s="253"/>
      <c r="D80" s="253"/>
      <c r="E80" s="14"/>
      <c r="F80" s="14"/>
    </row>
    <row r="82" spans="2:13" ht="20.25" x14ac:dyDescent="0.3">
      <c r="B82" s="29" t="s">
        <v>334</v>
      </c>
      <c r="C82" s="393" t="s">
        <v>6183</v>
      </c>
      <c r="D82" s="393"/>
      <c r="E82" s="393"/>
      <c r="F82" s="393"/>
      <c r="G82" s="393"/>
      <c r="H82" s="393"/>
      <c r="I82" s="393"/>
      <c r="J82" s="393"/>
      <c r="K82" s="393"/>
      <c r="L82" s="393"/>
      <c r="M82" s="393"/>
    </row>
    <row r="83" spans="2:13" ht="18" x14ac:dyDescent="0.25">
      <c r="B83" s="12" t="s">
        <v>335</v>
      </c>
      <c r="C83" s="1" t="s">
        <v>231</v>
      </c>
      <c r="E83" s="228" t="s">
        <v>427</v>
      </c>
      <c r="F83" s="228"/>
      <c r="G83" s="1" t="s">
        <v>5897</v>
      </c>
      <c r="L83" s="12" t="s">
        <v>339</v>
      </c>
      <c r="M83" s="78" t="s">
        <v>6184</v>
      </c>
    </row>
    <row r="85" spans="2:13" x14ac:dyDescent="0.25">
      <c r="B85" s="2" t="s">
        <v>341</v>
      </c>
      <c r="C85" s="322" t="s">
        <v>6129</v>
      </c>
      <c r="D85" s="322"/>
      <c r="E85" s="228" t="s">
        <v>345</v>
      </c>
      <c r="F85" s="228"/>
      <c r="G85" s="228"/>
      <c r="H85" s="228"/>
      <c r="I85" s="228"/>
    </row>
    <row r="86" spans="2:13" x14ac:dyDescent="0.25">
      <c r="C86" s="14"/>
      <c r="D86" s="14"/>
    </row>
    <row r="87" spans="2:13" x14ac:dyDescent="0.25">
      <c r="B87" s="13" t="s">
        <v>3833</v>
      </c>
      <c r="C87" s="252" t="s">
        <v>744</v>
      </c>
      <c r="D87" s="252"/>
      <c r="E87" s="14" t="s">
        <v>6185</v>
      </c>
      <c r="F87" s="14"/>
    </row>
    <row r="88" spans="2:13" x14ac:dyDescent="0.25">
      <c r="B88" s="13"/>
      <c r="C88" s="188"/>
      <c r="D88" s="188"/>
      <c r="E88" s="16"/>
      <c r="F88" s="16"/>
    </row>
    <row r="89" spans="2:13" x14ac:dyDescent="0.25">
      <c r="B89" s="14" t="s">
        <v>1522</v>
      </c>
      <c r="C89" s="253" t="s">
        <v>486</v>
      </c>
      <c r="D89" s="253"/>
      <c r="E89" s="14"/>
      <c r="F89" s="14"/>
    </row>
    <row r="90" spans="2:13" x14ac:dyDescent="0.25">
      <c r="B90" s="14"/>
      <c r="C90" s="253"/>
      <c r="D90" s="253"/>
      <c r="E90" s="14"/>
      <c r="F90" s="14"/>
    </row>
    <row r="91" spans="2:13" x14ac:dyDescent="0.25">
      <c r="B91" s="13" t="s">
        <v>6186</v>
      </c>
      <c r="C91" s="252" t="s">
        <v>486</v>
      </c>
      <c r="D91" s="252"/>
      <c r="E91" s="14"/>
      <c r="F91" s="14"/>
    </row>
    <row r="92" spans="2:13" x14ac:dyDescent="0.25">
      <c r="B92" s="13"/>
      <c r="C92" s="188"/>
      <c r="D92" s="188"/>
      <c r="E92" s="14"/>
      <c r="F92" s="14"/>
    </row>
    <row r="93" spans="2:13" x14ac:dyDescent="0.25">
      <c r="B93" s="14" t="s">
        <v>3834</v>
      </c>
      <c r="C93" s="253" t="s">
        <v>486</v>
      </c>
      <c r="D93" s="253"/>
      <c r="E93" s="14"/>
      <c r="F93" s="14"/>
    </row>
    <row r="94" spans="2:13" x14ac:dyDescent="0.25">
      <c r="B94" s="14"/>
      <c r="C94" s="189"/>
      <c r="D94" s="189"/>
      <c r="E94" s="14"/>
      <c r="F94" s="14"/>
    </row>
    <row r="96" spans="2:13" ht="20.25" x14ac:dyDescent="0.3">
      <c r="B96" s="29" t="s">
        <v>334</v>
      </c>
      <c r="C96" s="393" t="s">
        <v>6187</v>
      </c>
      <c r="D96" s="393"/>
      <c r="E96" s="393"/>
      <c r="F96" s="393"/>
      <c r="G96" s="393"/>
      <c r="H96" s="393"/>
      <c r="I96" s="393"/>
      <c r="J96" s="393"/>
      <c r="K96" s="393"/>
      <c r="L96" s="393"/>
      <c r="M96" s="393"/>
    </row>
    <row r="97" spans="2:13" ht="18" x14ac:dyDescent="0.25">
      <c r="B97" s="12" t="s">
        <v>335</v>
      </c>
      <c r="C97" s="1" t="s">
        <v>231</v>
      </c>
      <c r="E97" s="228" t="s">
        <v>427</v>
      </c>
      <c r="F97" s="228"/>
      <c r="G97" s="1" t="s">
        <v>5897</v>
      </c>
      <c r="L97" s="12" t="s">
        <v>339</v>
      </c>
      <c r="M97" s="78" t="s">
        <v>264</v>
      </c>
    </row>
    <row r="99" spans="2:13" x14ac:dyDescent="0.25">
      <c r="B99" s="2" t="s">
        <v>341</v>
      </c>
      <c r="C99" s="322" t="s">
        <v>6129</v>
      </c>
      <c r="D99" s="322"/>
      <c r="E99" s="228" t="s">
        <v>345</v>
      </c>
      <c r="F99" s="228"/>
      <c r="G99" s="228"/>
      <c r="H99" s="228"/>
      <c r="I99" s="228"/>
    </row>
    <row r="100" spans="2:13" x14ac:dyDescent="0.25">
      <c r="C100" s="14"/>
      <c r="D100" s="14"/>
    </row>
    <row r="101" spans="2:13" x14ac:dyDescent="0.25">
      <c r="B101" s="13" t="s">
        <v>6188</v>
      </c>
      <c r="C101" s="252" t="s">
        <v>744</v>
      </c>
      <c r="D101" s="252"/>
      <c r="E101" s="14" t="s">
        <v>6185</v>
      </c>
      <c r="F101" s="14"/>
    </row>
    <row r="102" spans="2:13" x14ac:dyDescent="0.25">
      <c r="B102" s="13"/>
      <c r="C102" s="188"/>
      <c r="D102" s="188"/>
      <c r="E102" s="16"/>
      <c r="F102" s="16"/>
    </row>
    <row r="103" spans="2:13" x14ac:dyDescent="0.25">
      <c r="B103" s="14" t="s">
        <v>1952</v>
      </c>
      <c r="C103" s="253" t="s">
        <v>486</v>
      </c>
      <c r="D103" s="253"/>
      <c r="E103" s="14"/>
      <c r="F103" s="14"/>
    </row>
    <row r="104" spans="2:13" x14ac:dyDescent="0.25">
      <c r="B104" s="14"/>
      <c r="C104" s="253"/>
      <c r="D104" s="253"/>
      <c r="E104" s="14"/>
      <c r="F104" s="14"/>
    </row>
    <row r="105" spans="2:13" x14ac:dyDescent="0.25">
      <c r="B105" s="13" t="s">
        <v>1224</v>
      </c>
      <c r="C105" s="252" t="s">
        <v>486</v>
      </c>
      <c r="D105" s="252"/>
      <c r="E105" s="14"/>
      <c r="F105" s="14"/>
    </row>
    <row r="106" spans="2:13" x14ac:dyDescent="0.25">
      <c r="B106" s="13"/>
      <c r="C106" s="188"/>
      <c r="D106" s="188"/>
      <c r="E106" s="14"/>
      <c r="F106" s="14"/>
    </row>
    <row r="107" spans="2:13" x14ac:dyDescent="0.25">
      <c r="B107" s="14" t="s">
        <v>515</v>
      </c>
      <c r="C107" s="253" t="s">
        <v>486</v>
      </c>
      <c r="D107" s="253"/>
      <c r="E107" s="14"/>
      <c r="F107" s="14"/>
    </row>
    <row r="109" spans="2:13" x14ac:dyDescent="0.25">
      <c r="B109" s="13" t="s">
        <v>2938</v>
      </c>
      <c r="C109" s="252" t="s">
        <v>486</v>
      </c>
      <c r="D109" s="252"/>
    </row>
    <row r="110" spans="2:13" x14ac:dyDescent="0.25">
      <c r="B110" s="13"/>
      <c r="C110" s="13"/>
      <c r="D110" s="13"/>
    </row>
    <row r="111" spans="2:13" x14ac:dyDescent="0.25">
      <c r="B111" s="14" t="s">
        <v>6189</v>
      </c>
      <c r="C111" s="253" t="s">
        <v>486</v>
      </c>
      <c r="D111" s="253"/>
    </row>
    <row r="114" spans="2:13" ht="20.25" x14ac:dyDescent="0.3">
      <c r="B114" s="29" t="s">
        <v>334</v>
      </c>
      <c r="C114" s="394" t="s">
        <v>6190</v>
      </c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</row>
    <row r="115" spans="2:13" ht="18" x14ac:dyDescent="0.25">
      <c r="B115" s="12" t="s">
        <v>335</v>
      </c>
      <c r="C115" s="1" t="s">
        <v>231</v>
      </c>
      <c r="E115" s="228" t="s">
        <v>427</v>
      </c>
      <c r="F115" s="228"/>
      <c r="G115" s="1" t="s">
        <v>5897</v>
      </c>
      <c r="L115" s="12" t="s">
        <v>339</v>
      </c>
      <c r="M115" s="78" t="s">
        <v>283</v>
      </c>
    </row>
    <row r="117" spans="2:13" x14ac:dyDescent="0.25">
      <c r="B117" s="2" t="s">
        <v>341</v>
      </c>
      <c r="C117" s="322" t="s">
        <v>6129</v>
      </c>
      <c r="D117" s="322"/>
      <c r="E117" s="228" t="s">
        <v>345</v>
      </c>
      <c r="F117" s="228"/>
      <c r="G117" s="228"/>
      <c r="H117" s="228"/>
      <c r="I117" s="228"/>
    </row>
    <row r="118" spans="2:13" x14ac:dyDescent="0.25">
      <c r="C118" s="14"/>
      <c r="D118" s="14"/>
    </row>
    <row r="119" spans="2:13" x14ac:dyDescent="0.25">
      <c r="B119" s="13" t="s">
        <v>454</v>
      </c>
      <c r="C119" s="252" t="s">
        <v>744</v>
      </c>
      <c r="D119" s="252"/>
      <c r="E119" s="14" t="s">
        <v>6185</v>
      </c>
      <c r="F119" s="14"/>
    </row>
    <row r="120" spans="2:13" x14ac:dyDescent="0.25">
      <c r="B120" s="13"/>
      <c r="C120" s="188"/>
      <c r="D120" s="188"/>
      <c r="E120" s="16"/>
      <c r="F120" s="16"/>
    </row>
    <row r="121" spans="2:13" x14ac:dyDescent="0.25">
      <c r="B121" s="14" t="s">
        <v>457</v>
      </c>
      <c r="C121" s="253" t="s">
        <v>744</v>
      </c>
      <c r="D121" s="253"/>
      <c r="E121" s="14"/>
      <c r="F121" s="14"/>
    </row>
    <row r="122" spans="2:13" x14ac:dyDescent="0.25">
      <c r="B122" s="14"/>
      <c r="C122" s="253"/>
      <c r="D122" s="253"/>
      <c r="E122" s="14"/>
      <c r="F122" s="14"/>
    </row>
    <row r="123" spans="2:13" x14ac:dyDescent="0.25">
      <c r="B123" s="13" t="s">
        <v>389</v>
      </c>
      <c r="C123" s="252" t="s">
        <v>486</v>
      </c>
      <c r="D123" s="252"/>
      <c r="E123" s="14"/>
      <c r="F123" s="14"/>
    </row>
    <row r="124" spans="2:13" x14ac:dyDescent="0.25">
      <c r="B124" s="13"/>
      <c r="C124" s="188"/>
      <c r="D124" s="188"/>
      <c r="E124" s="14"/>
      <c r="F124" s="14"/>
    </row>
    <row r="125" spans="2:13" x14ac:dyDescent="0.25">
      <c r="B125" s="14" t="s">
        <v>1224</v>
      </c>
      <c r="C125" s="253" t="s">
        <v>486</v>
      </c>
      <c r="D125" s="253"/>
      <c r="E125" s="14"/>
      <c r="F125" s="14"/>
    </row>
    <row r="127" spans="2:13" x14ac:dyDescent="0.25">
      <c r="B127" s="13" t="s">
        <v>889</v>
      </c>
      <c r="C127" s="252" t="s">
        <v>486</v>
      </c>
      <c r="D127" s="252"/>
    </row>
    <row r="128" spans="2:13" x14ac:dyDescent="0.25">
      <c r="B128" s="13"/>
      <c r="C128" s="13"/>
      <c r="D128" s="13"/>
    </row>
    <row r="130" spans="2:13" ht="23.25" x14ac:dyDescent="0.35">
      <c r="B130" s="29" t="s">
        <v>334</v>
      </c>
      <c r="C130" s="229" t="s">
        <v>6191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</row>
    <row r="131" spans="2:13" ht="18" x14ac:dyDescent="0.25">
      <c r="B131" s="12" t="s">
        <v>335</v>
      </c>
      <c r="C131" s="1" t="s">
        <v>231</v>
      </c>
      <c r="E131" s="228" t="s">
        <v>427</v>
      </c>
      <c r="F131" s="228"/>
      <c r="G131" s="1" t="s">
        <v>5897</v>
      </c>
      <c r="L131" s="12" t="s">
        <v>339</v>
      </c>
      <c r="M131" s="78" t="s">
        <v>288</v>
      </c>
    </row>
    <row r="133" spans="2:13" x14ac:dyDescent="0.25">
      <c r="B133" s="2" t="s">
        <v>341</v>
      </c>
      <c r="C133" s="322" t="s">
        <v>6129</v>
      </c>
      <c r="D133" s="322"/>
      <c r="E133" s="228" t="s">
        <v>345</v>
      </c>
      <c r="F133" s="228"/>
      <c r="G133" s="228"/>
      <c r="H133" s="228"/>
      <c r="I133" s="228"/>
    </row>
    <row r="134" spans="2:13" x14ac:dyDescent="0.25">
      <c r="C134" s="14"/>
      <c r="D134" s="14"/>
    </row>
    <row r="135" spans="2:13" x14ac:dyDescent="0.25">
      <c r="B135" s="13" t="s">
        <v>1046</v>
      </c>
      <c r="C135" s="252" t="s">
        <v>744</v>
      </c>
      <c r="D135" s="252"/>
      <c r="E135" s="14" t="s">
        <v>6185</v>
      </c>
      <c r="F135" s="14"/>
    </row>
    <row r="136" spans="2:13" x14ac:dyDescent="0.25">
      <c r="B136" s="13"/>
      <c r="C136" s="188"/>
      <c r="D136" s="188"/>
      <c r="E136" s="16"/>
      <c r="F136" s="16"/>
    </row>
    <row r="137" spans="2:13" x14ac:dyDescent="0.25">
      <c r="B137" s="14" t="s">
        <v>2122</v>
      </c>
      <c r="C137" s="253" t="s">
        <v>486</v>
      </c>
      <c r="D137" s="253"/>
      <c r="E137" s="14"/>
      <c r="F137" s="14"/>
    </row>
    <row r="138" spans="2:13" x14ac:dyDescent="0.25">
      <c r="B138" s="14"/>
      <c r="C138" s="253"/>
      <c r="D138" s="253"/>
      <c r="E138" s="14"/>
      <c r="F138" s="14"/>
    </row>
    <row r="139" spans="2:13" x14ac:dyDescent="0.25">
      <c r="B139" s="13" t="s">
        <v>515</v>
      </c>
      <c r="C139" s="252" t="s">
        <v>486</v>
      </c>
      <c r="D139" s="252"/>
      <c r="E139" s="14"/>
      <c r="F139" s="14"/>
    </row>
    <row r="140" spans="2:13" x14ac:dyDescent="0.25">
      <c r="B140" s="13"/>
      <c r="C140" s="188"/>
      <c r="D140" s="188"/>
      <c r="E140" s="14"/>
      <c r="F140" s="14"/>
    </row>
    <row r="141" spans="2:13" x14ac:dyDescent="0.25">
      <c r="B141" s="14" t="s">
        <v>1224</v>
      </c>
      <c r="C141" s="253" t="s">
        <v>486</v>
      </c>
      <c r="D141" s="253"/>
      <c r="E141" s="14"/>
      <c r="F141" s="14"/>
    </row>
    <row r="143" spans="2:13" x14ac:dyDescent="0.25">
      <c r="B143" s="13" t="s">
        <v>1952</v>
      </c>
      <c r="C143" s="252" t="s">
        <v>486</v>
      </c>
      <c r="D143" s="252"/>
    </row>
    <row r="144" spans="2:13" x14ac:dyDescent="0.25">
      <c r="B144" s="13"/>
      <c r="C144" s="13"/>
      <c r="D144" s="13"/>
    </row>
    <row r="146" spans="2:13" ht="23.25" x14ac:dyDescent="0.35">
      <c r="B146" s="29" t="s">
        <v>334</v>
      </c>
      <c r="C146" s="229" t="s">
        <v>243</v>
      </c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</row>
    <row r="147" spans="2:13" ht="18" x14ac:dyDescent="0.25">
      <c r="B147" s="12" t="s">
        <v>335</v>
      </c>
      <c r="C147" s="1" t="s">
        <v>231</v>
      </c>
      <c r="E147" s="228" t="s">
        <v>427</v>
      </c>
      <c r="F147" s="228"/>
      <c r="G147" s="1" t="s">
        <v>6192</v>
      </c>
      <c r="L147" s="12" t="s">
        <v>339</v>
      </c>
      <c r="M147" s="78" t="s">
        <v>6193</v>
      </c>
    </row>
    <row r="149" spans="2:13" x14ac:dyDescent="0.25">
      <c r="B149" s="2" t="s">
        <v>341</v>
      </c>
      <c r="C149" s="322" t="s">
        <v>6194</v>
      </c>
      <c r="D149" s="322"/>
      <c r="E149" s="228" t="s">
        <v>345</v>
      </c>
      <c r="F149" s="228"/>
      <c r="G149" s="228"/>
      <c r="H149" s="228"/>
      <c r="I149" s="228"/>
    </row>
    <row r="150" spans="2:13" x14ac:dyDescent="0.25">
      <c r="C150" s="14"/>
      <c r="D150" s="14"/>
    </row>
    <row r="151" spans="2:13" x14ac:dyDescent="0.25">
      <c r="B151" s="13" t="s">
        <v>6195</v>
      </c>
      <c r="C151" s="252" t="s">
        <v>368</v>
      </c>
      <c r="D151" s="252"/>
      <c r="E151" s="14" t="s">
        <v>6196</v>
      </c>
      <c r="F151" s="14"/>
    </row>
    <row r="152" spans="2:13" x14ac:dyDescent="0.25">
      <c r="B152" s="13" t="s">
        <v>6197</v>
      </c>
      <c r="C152" s="188"/>
      <c r="D152" s="188"/>
      <c r="E152" s="14" t="s">
        <v>6198</v>
      </c>
      <c r="F152" s="16"/>
    </row>
    <row r="153" spans="2:13" x14ac:dyDescent="0.25">
      <c r="B153" s="14" t="s">
        <v>6199</v>
      </c>
      <c r="C153" s="253" t="s">
        <v>683</v>
      </c>
      <c r="D153" s="253"/>
      <c r="E153" s="14" t="s">
        <v>6200</v>
      </c>
      <c r="F153" s="14"/>
    </row>
    <row r="154" spans="2:13" x14ac:dyDescent="0.25">
      <c r="B154" s="14" t="s">
        <v>4569</v>
      </c>
      <c r="C154" s="253"/>
      <c r="D154" s="253"/>
      <c r="E154" s="14"/>
      <c r="F154" s="14"/>
    </row>
    <row r="155" spans="2:13" x14ac:dyDescent="0.25">
      <c r="B155" s="13" t="s">
        <v>1468</v>
      </c>
      <c r="C155" s="252" t="s">
        <v>517</v>
      </c>
      <c r="D155" s="252"/>
      <c r="E155" s="14"/>
      <c r="F155" s="14"/>
    </row>
    <row r="156" spans="2:13" x14ac:dyDescent="0.25">
      <c r="B156" s="13"/>
      <c r="C156" s="188"/>
      <c r="D156" s="188"/>
      <c r="E156" s="14"/>
      <c r="F156" s="14"/>
    </row>
    <row r="157" spans="2:13" x14ac:dyDescent="0.25">
      <c r="B157" s="14" t="s">
        <v>6201</v>
      </c>
      <c r="C157" s="253" t="s">
        <v>516</v>
      </c>
      <c r="D157" s="253"/>
      <c r="E157" s="14"/>
      <c r="F157" s="14"/>
    </row>
    <row r="159" spans="2:13" x14ac:dyDescent="0.25">
      <c r="B159" s="217" t="s">
        <v>401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9"/>
    </row>
    <row r="160" spans="2:13" x14ac:dyDescent="0.25">
      <c r="B160" s="3" t="s">
        <v>402</v>
      </c>
      <c r="C160" s="232" t="s">
        <v>403</v>
      </c>
      <c r="D160" s="232"/>
      <c r="E160" s="232" t="s">
        <v>467</v>
      </c>
      <c r="F160" s="232"/>
      <c r="G160" s="232" t="s">
        <v>405</v>
      </c>
      <c r="H160" s="232"/>
      <c r="I160" s="232" t="s">
        <v>406</v>
      </c>
      <c r="J160" s="232"/>
      <c r="K160" s="234" t="s">
        <v>468</v>
      </c>
      <c r="L160" s="235"/>
      <c r="M160" s="236"/>
    </row>
    <row r="161" spans="2:13" x14ac:dyDescent="0.25">
      <c r="B161" s="5"/>
      <c r="C161" s="237">
        <v>1</v>
      </c>
      <c r="D161" s="238"/>
      <c r="E161" s="239"/>
      <c r="F161" s="238"/>
      <c r="G161" s="240"/>
      <c r="H161" s="240"/>
      <c r="I161" s="241"/>
      <c r="J161" s="241"/>
      <c r="K161" s="242"/>
      <c r="L161" s="243"/>
      <c r="M161" s="244"/>
    </row>
    <row r="162" spans="2:13" x14ac:dyDescent="0.25">
      <c r="B162" s="1"/>
      <c r="C162" s="1"/>
      <c r="D162" s="1"/>
      <c r="E162" s="1"/>
      <c r="F162" s="1"/>
      <c r="G162" s="1"/>
      <c r="H162" s="1"/>
    </row>
    <row r="163" spans="2:13" x14ac:dyDescent="0.25">
      <c r="B163" s="217" t="s">
        <v>408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9"/>
    </row>
    <row r="164" spans="2:13" x14ac:dyDescent="0.25">
      <c r="B164" s="122" t="s">
        <v>6202</v>
      </c>
      <c r="C164" s="220" t="s">
        <v>6203</v>
      </c>
      <c r="D164" s="220"/>
      <c r="E164" s="221" t="s">
        <v>4306</v>
      </c>
      <c r="F164" s="221"/>
      <c r="G164" s="221" t="s">
        <v>692</v>
      </c>
      <c r="H164" s="221"/>
      <c r="I164" s="220" t="s">
        <v>6204</v>
      </c>
      <c r="J164" s="220"/>
      <c r="K164" s="220" t="s">
        <v>6205</v>
      </c>
      <c r="L164" s="220"/>
      <c r="M164" s="222"/>
    </row>
    <row r="165" spans="2:13" x14ac:dyDescent="0.25">
      <c r="B165" s="123" t="s">
        <v>3568</v>
      </c>
      <c r="C165" s="225" t="s">
        <v>5001</v>
      </c>
      <c r="D165" s="226"/>
      <c r="E165" s="223" t="s">
        <v>567</v>
      </c>
      <c r="F165" s="223"/>
      <c r="G165" s="223" t="s">
        <v>4623</v>
      </c>
      <c r="H165" s="223"/>
      <c r="I165" s="227" t="s">
        <v>569</v>
      </c>
      <c r="J165" s="227"/>
      <c r="K165" s="223" t="s">
        <v>6206</v>
      </c>
      <c r="L165" s="223"/>
      <c r="M165" s="224"/>
    </row>
    <row r="166" spans="2:13" x14ac:dyDescent="0.25">
      <c r="B166" s="123" t="s">
        <v>2199</v>
      </c>
      <c r="C166" s="225" t="s">
        <v>422</v>
      </c>
      <c r="D166" s="226"/>
      <c r="E166" s="227" t="s">
        <v>6207</v>
      </c>
      <c r="F166" s="227"/>
      <c r="G166" s="223" t="s">
        <v>802</v>
      </c>
      <c r="H166" s="223"/>
      <c r="I166" s="223" t="s">
        <v>6208</v>
      </c>
      <c r="J166" s="223"/>
      <c r="K166" s="223" t="s">
        <v>575</v>
      </c>
      <c r="L166" s="223"/>
      <c r="M166" s="224"/>
    </row>
    <row r="167" spans="2:13" ht="23.25" x14ac:dyDescent="0.35">
      <c r="B167" s="29" t="s">
        <v>334</v>
      </c>
      <c r="C167" s="229" t="s">
        <v>269</v>
      </c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</row>
    <row r="168" spans="2:13" ht="18" x14ac:dyDescent="0.25">
      <c r="B168" s="12" t="s">
        <v>335</v>
      </c>
      <c r="C168" s="1" t="s">
        <v>231</v>
      </c>
      <c r="E168" s="228" t="s">
        <v>427</v>
      </c>
      <c r="F168" s="228"/>
      <c r="G168" s="1" t="s">
        <v>5897</v>
      </c>
      <c r="L168" s="12" t="s">
        <v>339</v>
      </c>
      <c r="M168" s="78" t="s">
        <v>268</v>
      </c>
    </row>
    <row r="170" spans="2:13" x14ac:dyDescent="0.25">
      <c r="B170" s="2" t="s">
        <v>341</v>
      </c>
      <c r="C170" s="322" t="s">
        <v>6209</v>
      </c>
      <c r="D170" s="322"/>
      <c r="E170" s="228" t="s">
        <v>345</v>
      </c>
      <c r="F170" s="228"/>
      <c r="G170" s="228"/>
      <c r="H170" s="228"/>
      <c r="I170" s="228"/>
    </row>
    <row r="171" spans="2:13" x14ac:dyDescent="0.25">
      <c r="C171" s="14"/>
      <c r="D171" s="14"/>
    </row>
    <row r="172" spans="2:13" x14ac:dyDescent="0.25">
      <c r="B172" s="13" t="s">
        <v>6210</v>
      </c>
      <c r="C172" s="252" t="s">
        <v>1797</v>
      </c>
      <c r="D172" s="252"/>
      <c r="E172" s="14" t="s">
        <v>6211</v>
      </c>
    </row>
    <row r="173" spans="2:13" x14ac:dyDescent="0.25">
      <c r="B173" s="13"/>
      <c r="C173" s="188"/>
      <c r="D173" s="188"/>
      <c r="E173" s="31" t="s">
        <v>6212</v>
      </c>
    </row>
    <row r="174" spans="2:13" x14ac:dyDescent="0.25">
      <c r="B174" s="14" t="s">
        <v>548</v>
      </c>
      <c r="C174" s="253" t="s">
        <v>880</v>
      </c>
      <c r="D174" s="253"/>
      <c r="E174" s="31" t="s">
        <v>6213</v>
      </c>
    </row>
    <row r="175" spans="2:13" x14ac:dyDescent="0.25">
      <c r="B175" s="14"/>
      <c r="C175" s="253"/>
      <c r="D175" s="253"/>
      <c r="E175" s="31" t="s">
        <v>6214</v>
      </c>
    </row>
    <row r="176" spans="2:13" x14ac:dyDescent="0.25">
      <c r="B176" s="13" t="s">
        <v>6215</v>
      </c>
      <c r="C176" s="252" t="s">
        <v>486</v>
      </c>
      <c r="D176" s="252"/>
      <c r="E176" s="31" t="s">
        <v>6216</v>
      </c>
    </row>
    <row r="177" spans="2:5" x14ac:dyDescent="0.25">
      <c r="B177" s="13"/>
      <c r="C177" s="188"/>
      <c r="D177" s="188"/>
      <c r="E177" s="31" t="s">
        <v>6217</v>
      </c>
    </row>
    <row r="178" spans="2:5" x14ac:dyDescent="0.25">
      <c r="E178" s="31" t="s">
        <v>6218</v>
      </c>
    </row>
    <row r="179" spans="2:5" x14ac:dyDescent="0.25">
      <c r="E179" s="31" t="s">
        <v>6219</v>
      </c>
    </row>
    <row r="180" spans="2:5" x14ac:dyDescent="0.25">
      <c r="E180" s="31" t="s">
        <v>6220</v>
      </c>
    </row>
    <row r="181" spans="2:5" x14ac:dyDescent="0.25">
      <c r="E181" s="31" t="s">
        <v>6221</v>
      </c>
    </row>
    <row r="182" spans="2:5" x14ac:dyDescent="0.25">
      <c r="E182" s="31" t="s">
        <v>6222</v>
      </c>
    </row>
    <row r="183" spans="2:5" x14ac:dyDescent="0.25">
      <c r="E183" s="31" t="s">
        <v>6223</v>
      </c>
    </row>
    <row r="184" spans="2:5" x14ac:dyDescent="0.25">
      <c r="E184" s="31" t="s">
        <v>6224</v>
      </c>
    </row>
    <row r="185" spans="2:5" x14ac:dyDescent="0.25">
      <c r="E185" s="31" t="s">
        <v>6225</v>
      </c>
    </row>
    <row r="186" spans="2:5" x14ac:dyDescent="0.25">
      <c r="E186" s="31" t="s">
        <v>6226</v>
      </c>
    </row>
    <row r="187" spans="2:5" x14ac:dyDescent="0.25">
      <c r="E187" s="31" t="s">
        <v>6227</v>
      </c>
    </row>
    <row r="188" spans="2:5" x14ac:dyDescent="0.25">
      <c r="E188" s="31" t="s">
        <v>6228</v>
      </c>
    </row>
    <row r="189" spans="2:5" x14ac:dyDescent="0.25">
      <c r="E189" s="31" t="s">
        <v>6229</v>
      </c>
    </row>
    <row r="190" spans="2:5" x14ac:dyDescent="0.25">
      <c r="E190" s="31" t="s">
        <v>6230</v>
      </c>
    </row>
    <row r="191" spans="2:5" x14ac:dyDescent="0.25">
      <c r="E191" s="31" t="s">
        <v>6231</v>
      </c>
    </row>
    <row r="192" spans="2:5" x14ac:dyDescent="0.25">
      <c r="E192" s="31" t="s">
        <v>6232</v>
      </c>
    </row>
    <row r="193" spans="2:13" x14ac:dyDescent="0.25">
      <c r="E193" s="31" t="s">
        <v>6233</v>
      </c>
    </row>
    <row r="194" spans="2:13" x14ac:dyDescent="0.25">
      <c r="E194" s="31" t="s">
        <v>6234</v>
      </c>
    </row>
    <row r="195" spans="2:13" x14ac:dyDescent="0.25">
      <c r="E195" s="31" t="s">
        <v>6235</v>
      </c>
    </row>
    <row r="196" spans="2:13" x14ac:dyDescent="0.25">
      <c r="E196" s="31" t="s">
        <v>6236</v>
      </c>
    </row>
    <row r="197" spans="2:13" x14ac:dyDescent="0.25">
      <c r="E197" s="31" t="s">
        <v>6237</v>
      </c>
    </row>
    <row r="198" spans="2:13" x14ac:dyDescent="0.25">
      <c r="E198" s="31" t="s">
        <v>6238</v>
      </c>
    </row>
    <row r="199" spans="2:13" x14ac:dyDescent="0.25">
      <c r="E199" s="31" t="s">
        <v>6239</v>
      </c>
    </row>
    <row r="200" spans="2:13" x14ac:dyDescent="0.25">
      <c r="E200" s="31" t="s">
        <v>6240</v>
      </c>
    </row>
    <row r="201" spans="2:13" x14ac:dyDescent="0.25">
      <c r="E201" s="31" t="s">
        <v>6241</v>
      </c>
    </row>
    <row r="202" spans="2:13" x14ac:dyDescent="0.25">
      <c r="E202" s="31" t="s">
        <v>6242</v>
      </c>
    </row>
    <row r="203" spans="2:13" x14ac:dyDescent="0.25">
      <c r="E203" s="31" t="s">
        <v>6243</v>
      </c>
    </row>
    <row r="204" spans="2:13" ht="15.75" thickBot="1" x14ac:dyDescent="0.3">
      <c r="E204" s="31" t="s">
        <v>6244</v>
      </c>
    </row>
    <row r="205" spans="2:13" x14ac:dyDescent="0.25">
      <c r="B205" s="217" t="s">
        <v>401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9"/>
    </row>
    <row r="206" spans="2:13" x14ac:dyDescent="0.25">
      <c r="B206" s="3" t="s">
        <v>402</v>
      </c>
      <c r="C206" s="232" t="s">
        <v>403</v>
      </c>
      <c r="D206" s="232"/>
      <c r="E206" s="232" t="s">
        <v>467</v>
      </c>
      <c r="F206" s="232"/>
      <c r="G206" s="232" t="s">
        <v>405</v>
      </c>
      <c r="H206" s="232"/>
      <c r="I206" s="232" t="s">
        <v>406</v>
      </c>
      <c r="J206" s="232"/>
      <c r="K206" s="234" t="s">
        <v>468</v>
      </c>
      <c r="L206" s="235"/>
      <c r="M206" s="236"/>
    </row>
    <row r="207" spans="2:13" ht="15.75" thickBot="1" x14ac:dyDescent="0.3">
      <c r="B207" s="5"/>
      <c r="C207" s="237"/>
      <c r="D207" s="238"/>
      <c r="E207" s="239">
        <v>0.125</v>
      </c>
      <c r="F207" s="238"/>
      <c r="G207" s="240"/>
      <c r="H207" s="240"/>
      <c r="I207" s="241"/>
      <c r="J207" s="241"/>
      <c r="K207" s="242"/>
      <c r="L207" s="243"/>
      <c r="M207" s="244"/>
    </row>
    <row r="208" spans="2:13" ht="15.75" thickBot="1" x14ac:dyDescent="0.3"/>
    <row r="209" spans="2:14" x14ac:dyDescent="0.25">
      <c r="B209" s="217" t="s">
        <v>408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9"/>
    </row>
    <row r="210" spans="2:14" x14ac:dyDescent="0.25">
      <c r="B210" s="3" t="s">
        <v>6245</v>
      </c>
      <c r="C210" s="232" t="s">
        <v>6246</v>
      </c>
      <c r="D210" s="232"/>
      <c r="E210" s="268" t="s">
        <v>4306</v>
      </c>
      <c r="F210" s="268"/>
      <c r="G210" s="232" t="s">
        <v>692</v>
      </c>
      <c r="H210" s="232"/>
      <c r="I210" s="232" t="s">
        <v>6247</v>
      </c>
      <c r="J210" s="232"/>
      <c r="K210" s="232" t="s">
        <v>4162</v>
      </c>
      <c r="L210" s="232"/>
      <c r="M210" s="269"/>
    </row>
    <row r="211" spans="2:14" ht="15.75" thickBot="1" x14ac:dyDescent="0.3">
      <c r="B211" s="5" t="s">
        <v>2091</v>
      </c>
      <c r="C211" s="237" t="s">
        <v>6248</v>
      </c>
      <c r="D211" s="238"/>
      <c r="E211" s="240" t="s">
        <v>6249</v>
      </c>
      <c r="F211" s="240"/>
      <c r="G211" s="240" t="s">
        <v>6111</v>
      </c>
      <c r="H211" s="240"/>
      <c r="I211" s="240" t="s">
        <v>6250</v>
      </c>
      <c r="J211" s="240"/>
      <c r="K211" s="240" t="s">
        <v>6251</v>
      </c>
      <c r="L211" s="240"/>
      <c r="M211" s="267"/>
    </row>
    <row r="213" spans="2:14" ht="23.25" x14ac:dyDescent="0.35">
      <c r="B213" s="29" t="s">
        <v>334</v>
      </c>
      <c r="C213" s="229" t="s">
        <v>249</v>
      </c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</row>
    <row r="214" spans="2:14" ht="18" x14ac:dyDescent="0.25">
      <c r="B214" s="12" t="s">
        <v>335</v>
      </c>
      <c r="C214" s="1" t="s">
        <v>231</v>
      </c>
      <c r="E214" s="228" t="s">
        <v>427</v>
      </c>
      <c r="F214" s="228"/>
      <c r="G214" s="1" t="s">
        <v>3173</v>
      </c>
      <c r="L214" s="12" t="s">
        <v>339</v>
      </c>
      <c r="M214" s="78" t="s">
        <v>6252</v>
      </c>
    </row>
    <row r="216" spans="2:14" x14ac:dyDescent="0.25">
      <c r="B216" s="2" t="s">
        <v>341</v>
      </c>
      <c r="C216" s="322" t="s">
        <v>342</v>
      </c>
      <c r="D216" s="322"/>
      <c r="E216" s="322" t="s">
        <v>343</v>
      </c>
      <c r="F216" s="322"/>
      <c r="G216" s="322" t="s">
        <v>954</v>
      </c>
      <c r="H216" s="322"/>
      <c r="I216" s="228" t="s">
        <v>345</v>
      </c>
      <c r="J216" s="228"/>
      <c r="K216" s="228"/>
      <c r="L216" s="228"/>
      <c r="M216" s="228"/>
      <c r="N216" s="10"/>
    </row>
    <row r="217" spans="2:14" x14ac:dyDescent="0.25">
      <c r="C217" s="14"/>
      <c r="D217" s="14"/>
      <c r="E217" s="14"/>
      <c r="F217" s="14"/>
      <c r="G217" s="14"/>
      <c r="H217" s="14"/>
    </row>
    <row r="218" spans="2:14" x14ac:dyDescent="0.25">
      <c r="B218" s="13" t="s">
        <v>1794</v>
      </c>
      <c r="C218" s="252" t="s">
        <v>6253</v>
      </c>
      <c r="D218" s="252"/>
      <c r="E218" s="252" t="s">
        <v>1977</v>
      </c>
      <c r="F218" s="252"/>
      <c r="G218" s="252" t="s">
        <v>2668</v>
      </c>
      <c r="H218" s="252"/>
      <c r="I218" s="15" t="s">
        <v>6254</v>
      </c>
    </row>
    <row r="219" spans="2:14" x14ac:dyDescent="0.25">
      <c r="B219" s="13"/>
      <c r="C219" s="188"/>
      <c r="D219" s="188"/>
      <c r="E219" s="188"/>
      <c r="F219" s="188"/>
      <c r="G219" s="188"/>
      <c r="H219" s="188"/>
      <c r="I219" s="14"/>
    </row>
    <row r="220" spans="2:14" x14ac:dyDescent="0.25">
      <c r="B220" s="14"/>
      <c r="C220" s="253"/>
      <c r="D220" s="253"/>
      <c r="I220" s="14" t="s">
        <v>6255</v>
      </c>
    </row>
    <row r="221" spans="2:14" x14ac:dyDescent="0.25">
      <c r="B221" s="14"/>
      <c r="C221" s="253"/>
      <c r="D221" s="253"/>
      <c r="I221" s="14" t="s">
        <v>6256</v>
      </c>
    </row>
    <row r="222" spans="2:14" x14ac:dyDescent="0.25">
      <c r="B222" s="31"/>
      <c r="C222" s="255"/>
      <c r="D222" s="255"/>
      <c r="I222" s="14" t="s">
        <v>6257</v>
      </c>
    </row>
    <row r="223" spans="2:14" x14ac:dyDescent="0.25">
      <c r="B223" s="31"/>
      <c r="C223" s="191"/>
      <c r="D223" s="191"/>
      <c r="I223" s="14" t="s">
        <v>6258</v>
      </c>
    </row>
    <row r="224" spans="2:14" x14ac:dyDescent="0.25">
      <c r="B224" s="24"/>
      <c r="C224" s="24"/>
      <c r="D224" s="24"/>
      <c r="I224" s="14" t="s">
        <v>6259</v>
      </c>
    </row>
    <row r="225" spans="2:13" x14ac:dyDescent="0.25">
      <c r="I225" s="14" t="s">
        <v>6260</v>
      </c>
    </row>
    <row r="226" spans="2:13" x14ac:dyDescent="0.25">
      <c r="I226" s="14" t="s">
        <v>6261</v>
      </c>
    </row>
    <row r="227" spans="2:13" x14ac:dyDescent="0.25">
      <c r="I227" s="14" t="s">
        <v>6262</v>
      </c>
    </row>
    <row r="228" spans="2:13" x14ac:dyDescent="0.25">
      <c r="I228" s="14" t="s">
        <v>6263</v>
      </c>
    </row>
    <row r="229" spans="2:13" x14ac:dyDescent="0.25">
      <c r="I229" s="14"/>
    </row>
    <row r="230" spans="2:13" x14ac:dyDescent="0.25">
      <c r="I230" s="15" t="s">
        <v>6264</v>
      </c>
    </row>
    <row r="231" spans="2:13" x14ac:dyDescent="0.25">
      <c r="I231" s="14"/>
    </row>
    <row r="232" spans="2:13" x14ac:dyDescent="0.25">
      <c r="I232" s="14" t="s">
        <v>6265</v>
      </c>
    </row>
    <row r="233" spans="2:13" x14ac:dyDescent="0.25">
      <c r="I233" s="14" t="s">
        <v>6266</v>
      </c>
    </row>
    <row r="234" spans="2:13" x14ac:dyDescent="0.25">
      <c r="I234" s="14" t="s">
        <v>6267</v>
      </c>
    </row>
    <row r="235" spans="2:13" x14ac:dyDescent="0.25">
      <c r="E235" s="31"/>
      <c r="I235" s="14" t="s">
        <v>6268</v>
      </c>
    </row>
    <row r="236" spans="2:13" x14ac:dyDescent="0.25">
      <c r="E236" s="31"/>
      <c r="I236" s="14" t="s">
        <v>6269</v>
      </c>
    </row>
    <row r="237" spans="2:13" x14ac:dyDescent="0.25">
      <c r="E237" s="31"/>
      <c r="I237" s="14" t="s">
        <v>6270</v>
      </c>
    </row>
    <row r="238" spans="2:13" ht="15.75" thickBot="1" x14ac:dyDescent="0.3">
      <c r="E238" s="31"/>
      <c r="I238" s="14" t="s">
        <v>6271</v>
      </c>
    </row>
    <row r="239" spans="2:13" x14ac:dyDescent="0.25">
      <c r="B239" s="217" t="s">
        <v>401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9"/>
    </row>
    <row r="240" spans="2:13" x14ac:dyDescent="0.25">
      <c r="B240" s="3" t="s">
        <v>402</v>
      </c>
      <c r="C240" s="232" t="s">
        <v>403</v>
      </c>
      <c r="D240" s="232"/>
      <c r="E240" s="232" t="s">
        <v>467</v>
      </c>
      <c r="F240" s="232"/>
      <c r="G240" s="232" t="s">
        <v>405</v>
      </c>
      <c r="H240" s="232"/>
      <c r="I240" s="232" t="s">
        <v>406</v>
      </c>
      <c r="J240" s="232"/>
      <c r="K240" s="234" t="s">
        <v>468</v>
      </c>
      <c r="L240" s="235"/>
      <c r="M240" s="236"/>
    </row>
    <row r="241" spans="2:13" ht="15.75" thickBot="1" x14ac:dyDescent="0.3">
      <c r="B241" s="5"/>
      <c r="C241" s="237"/>
      <c r="D241" s="238"/>
      <c r="E241" s="239">
        <v>0.5</v>
      </c>
      <c r="F241" s="238"/>
      <c r="G241" s="240"/>
      <c r="H241" s="240"/>
      <c r="I241" s="241"/>
      <c r="J241" s="241"/>
      <c r="K241" s="242"/>
      <c r="L241" s="243"/>
      <c r="M241" s="244"/>
    </row>
    <row r="242" spans="2:13" ht="15.75" thickBot="1" x14ac:dyDescent="0.3"/>
    <row r="243" spans="2:13" x14ac:dyDescent="0.25">
      <c r="B243" s="217" t="s">
        <v>408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9"/>
    </row>
    <row r="244" spans="2:13" x14ac:dyDescent="0.25">
      <c r="B244" s="3" t="s">
        <v>6272</v>
      </c>
      <c r="C244" s="232" t="s">
        <v>6273</v>
      </c>
      <c r="D244" s="232"/>
      <c r="E244" s="268" t="s">
        <v>4306</v>
      </c>
      <c r="F244" s="268"/>
      <c r="G244" s="232" t="s">
        <v>692</v>
      </c>
      <c r="H244" s="232"/>
      <c r="I244" s="232" t="s">
        <v>6274</v>
      </c>
      <c r="J244" s="232"/>
      <c r="K244" s="232" t="s">
        <v>1996</v>
      </c>
      <c r="L244" s="232"/>
      <c r="M244" s="269"/>
    </row>
    <row r="245" spans="2:13" ht="15.75" thickBot="1" x14ac:dyDescent="0.3">
      <c r="B245" s="5" t="s">
        <v>6275</v>
      </c>
      <c r="C245" s="237" t="s">
        <v>714</v>
      </c>
      <c r="D245" s="238"/>
      <c r="E245" s="240" t="s">
        <v>6276</v>
      </c>
      <c r="F245" s="240"/>
      <c r="G245" s="240" t="s">
        <v>4702</v>
      </c>
      <c r="H245" s="240"/>
      <c r="I245" s="240" t="s">
        <v>6277</v>
      </c>
      <c r="J245" s="240"/>
      <c r="K245" s="240" t="s">
        <v>2515</v>
      </c>
      <c r="L245" s="240"/>
      <c r="M245" s="267"/>
    </row>
    <row r="247" spans="2:13" ht="23.25" x14ac:dyDescent="0.35">
      <c r="B247" s="29" t="s">
        <v>334</v>
      </c>
      <c r="C247" s="229" t="s">
        <v>253</v>
      </c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</row>
    <row r="248" spans="2:13" ht="18" x14ac:dyDescent="0.25">
      <c r="B248" s="12" t="s">
        <v>335</v>
      </c>
      <c r="C248" s="1" t="s">
        <v>231</v>
      </c>
      <c r="E248" s="228" t="s">
        <v>427</v>
      </c>
      <c r="F248" s="228"/>
      <c r="G248" s="1" t="s">
        <v>5897</v>
      </c>
      <c r="L248" s="12" t="s">
        <v>339</v>
      </c>
      <c r="M248" s="78" t="s">
        <v>252</v>
      </c>
    </row>
    <row r="250" spans="2:13" x14ac:dyDescent="0.25">
      <c r="B250" s="2" t="s">
        <v>341</v>
      </c>
      <c r="C250" s="322" t="s">
        <v>5880</v>
      </c>
      <c r="D250" s="322"/>
      <c r="E250" s="322" t="s">
        <v>5881</v>
      </c>
      <c r="F250" s="322"/>
      <c r="G250" s="228" t="s">
        <v>345</v>
      </c>
      <c r="H250" s="228"/>
      <c r="I250" s="228"/>
      <c r="J250" s="228"/>
      <c r="K250" s="228"/>
      <c r="L250" s="228"/>
      <c r="M250" s="228"/>
    </row>
    <row r="251" spans="2:13" x14ac:dyDescent="0.25">
      <c r="C251" s="14"/>
      <c r="D251" s="14"/>
      <c r="E251" s="14"/>
      <c r="F251" s="14"/>
    </row>
    <row r="252" spans="2:13" x14ac:dyDescent="0.25">
      <c r="B252" s="13" t="s">
        <v>2902</v>
      </c>
      <c r="C252" s="252" t="s">
        <v>5857</v>
      </c>
      <c r="D252" s="252"/>
      <c r="E252" s="252" t="s">
        <v>1137</v>
      </c>
      <c r="F252" s="252"/>
      <c r="G252" s="14" t="s">
        <v>1918</v>
      </c>
    </row>
    <row r="253" spans="2:13" x14ac:dyDescent="0.25">
      <c r="B253" s="13"/>
      <c r="C253" s="188"/>
      <c r="D253" s="188"/>
      <c r="E253" s="188"/>
      <c r="F253" s="188"/>
      <c r="G253" s="14" t="s">
        <v>6278</v>
      </c>
    </row>
    <row r="254" spans="2:13" x14ac:dyDescent="0.25">
      <c r="B254" s="14" t="s">
        <v>2903</v>
      </c>
      <c r="C254" s="253" t="s">
        <v>5857</v>
      </c>
      <c r="D254" s="253"/>
      <c r="E254" s="253" t="s">
        <v>1137</v>
      </c>
      <c r="F254" s="253"/>
      <c r="G254" s="14" t="s">
        <v>6279</v>
      </c>
    </row>
    <row r="255" spans="2:13" x14ac:dyDescent="0.25">
      <c r="B255" s="14"/>
      <c r="C255" s="253"/>
      <c r="D255" s="253"/>
      <c r="E255" s="253"/>
      <c r="F255" s="253"/>
      <c r="G255" s="14"/>
    </row>
    <row r="256" spans="2:13" x14ac:dyDescent="0.25">
      <c r="B256" s="13" t="s">
        <v>2904</v>
      </c>
      <c r="C256" s="252" t="s">
        <v>392</v>
      </c>
      <c r="D256" s="252"/>
      <c r="E256" s="252" t="s">
        <v>6280</v>
      </c>
      <c r="F256" s="252"/>
      <c r="G256" s="14"/>
    </row>
    <row r="257" spans="2:13" x14ac:dyDescent="0.25">
      <c r="B257" s="13"/>
      <c r="C257" s="188"/>
      <c r="D257" s="188"/>
      <c r="E257" s="188"/>
      <c r="F257" s="188"/>
      <c r="G257" s="14"/>
    </row>
    <row r="258" spans="2:13" x14ac:dyDescent="0.25">
      <c r="B258" s="14" t="s">
        <v>1959</v>
      </c>
      <c r="C258" s="253" t="s">
        <v>508</v>
      </c>
      <c r="D258" s="253"/>
      <c r="E258" s="253" t="s">
        <v>392</v>
      </c>
      <c r="F258" s="253"/>
      <c r="G258" s="14"/>
    </row>
    <row r="259" spans="2:13" ht="15.75" thickBot="1" x14ac:dyDescent="0.3">
      <c r="G259" s="14"/>
    </row>
    <row r="260" spans="2:13" x14ac:dyDescent="0.25">
      <c r="B260" s="217" t="s">
        <v>401</v>
      </c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9"/>
    </row>
    <row r="261" spans="2:13" x14ac:dyDescent="0.25">
      <c r="B261" s="3" t="s">
        <v>402</v>
      </c>
      <c r="C261" s="232" t="s">
        <v>403</v>
      </c>
      <c r="D261" s="232"/>
      <c r="E261" s="232" t="s">
        <v>467</v>
      </c>
      <c r="F261" s="232"/>
      <c r="G261" s="232" t="s">
        <v>405</v>
      </c>
      <c r="H261" s="232"/>
      <c r="I261" s="232" t="s">
        <v>406</v>
      </c>
      <c r="J261" s="232"/>
      <c r="K261" s="234" t="s">
        <v>468</v>
      </c>
      <c r="L261" s="235"/>
      <c r="M261" s="236"/>
    </row>
    <row r="262" spans="2:13" ht="15.75" thickBot="1" x14ac:dyDescent="0.3">
      <c r="B262" s="5"/>
      <c r="C262" s="237"/>
      <c r="D262" s="238"/>
      <c r="E262" s="239"/>
      <c r="F262" s="238"/>
      <c r="G262" s="240"/>
      <c r="H262" s="240"/>
      <c r="I262" s="241"/>
      <c r="J262" s="241"/>
      <c r="K262" s="242"/>
      <c r="L262" s="243"/>
      <c r="M262" s="244"/>
    </row>
    <row r="263" spans="2:13" ht="15.75" thickBot="1" x14ac:dyDescent="0.3"/>
    <row r="264" spans="2:13" x14ac:dyDescent="0.25">
      <c r="B264" s="217" t="s">
        <v>408</v>
      </c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9"/>
    </row>
    <row r="265" spans="2:13" x14ac:dyDescent="0.25">
      <c r="B265" s="3" t="s">
        <v>6281</v>
      </c>
      <c r="C265" s="232" t="s">
        <v>6282</v>
      </c>
      <c r="D265" s="232"/>
      <c r="E265" s="268" t="s">
        <v>3499</v>
      </c>
      <c r="F265" s="268"/>
      <c r="G265" s="232" t="s">
        <v>692</v>
      </c>
      <c r="H265" s="232"/>
      <c r="I265" s="232" t="s">
        <v>6283</v>
      </c>
      <c r="J265" s="232"/>
      <c r="K265" s="232" t="s">
        <v>6284</v>
      </c>
      <c r="L265" s="232"/>
      <c r="M265" s="269"/>
    </row>
    <row r="266" spans="2:13" ht="15.75" thickBot="1" x14ac:dyDescent="0.3">
      <c r="B266" s="5" t="s">
        <v>795</v>
      </c>
      <c r="C266" s="237" t="s">
        <v>1062</v>
      </c>
      <c r="D266" s="238"/>
      <c r="E266" s="240" t="s">
        <v>6285</v>
      </c>
      <c r="F266" s="240"/>
      <c r="G266" s="240" t="s">
        <v>6286</v>
      </c>
      <c r="H266" s="240"/>
      <c r="I266" s="240" t="s">
        <v>6287</v>
      </c>
      <c r="J266" s="240"/>
      <c r="K266" s="240" t="s">
        <v>6288</v>
      </c>
      <c r="L266" s="240"/>
      <c r="M266" s="267"/>
    </row>
    <row r="268" spans="2:13" ht="23.25" x14ac:dyDescent="0.35">
      <c r="B268" s="29" t="s">
        <v>334</v>
      </c>
      <c r="C268" s="229" t="s">
        <v>257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</row>
    <row r="269" spans="2:13" ht="18" x14ac:dyDescent="0.25">
      <c r="B269" s="12" t="s">
        <v>335</v>
      </c>
      <c r="C269" s="1" t="s">
        <v>231</v>
      </c>
      <c r="E269" s="228" t="s">
        <v>427</v>
      </c>
      <c r="F269" s="228"/>
      <c r="G269" s="1" t="s">
        <v>5897</v>
      </c>
      <c r="L269" s="12" t="s">
        <v>339</v>
      </c>
      <c r="M269" s="78" t="s">
        <v>256</v>
      </c>
    </row>
    <row r="271" spans="2:13" x14ac:dyDescent="0.25">
      <c r="B271" s="2" t="s">
        <v>341</v>
      </c>
      <c r="C271" s="322" t="s">
        <v>3773</v>
      </c>
      <c r="D271" s="322"/>
      <c r="E271" s="322" t="s">
        <v>1260</v>
      </c>
      <c r="F271" s="322"/>
      <c r="G271" s="228" t="s">
        <v>345</v>
      </c>
      <c r="H271" s="228"/>
      <c r="I271" s="228"/>
      <c r="J271" s="228"/>
      <c r="K271" s="228"/>
      <c r="L271" s="228"/>
      <c r="M271" s="228"/>
    </row>
    <row r="272" spans="2:13" x14ac:dyDescent="0.25">
      <c r="C272" s="14"/>
      <c r="D272" s="14"/>
      <c r="E272" s="14"/>
      <c r="F272" s="14"/>
    </row>
    <row r="273" spans="2:13" x14ac:dyDescent="0.25">
      <c r="B273" s="13" t="s">
        <v>457</v>
      </c>
      <c r="C273" s="252" t="s">
        <v>513</v>
      </c>
      <c r="D273" s="252"/>
      <c r="E273" s="252" t="s">
        <v>1878</v>
      </c>
      <c r="F273" s="252"/>
      <c r="G273" s="14" t="s">
        <v>1918</v>
      </c>
    </row>
    <row r="274" spans="2:13" x14ac:dyDescent="0.25">
      <c r="B274" s="13"/>
      <c r="C274" s="188"/>
      <c r="D274" s="188"/>
      <c r="E274" s="188"/>
      <c r="F274" s="188"/>
      <c r="G274" s="14" t="s">
        <v>6278</v>
      </c>
    </row>
    <row r="275" spans="2:13" x14ac:dyDescent="0.25">
      <c r="B275" s="14" t="s">
        <v>454</v>
      </c>
      <c r="C275" s="253" t="s">
        <v>513</v>
      </c>
      <c r="D275" s="253"/>
      <c r="E275" s="253" t="s">
        <v>1878</v>
      </c>
      <c r="F275" s="253"/>
      <c r="G275" s="14" t="s">
        <v>6279</v>
      </c>
    </row>
    <row r="276" spans="2:13" x14ac:dyDescent="0.25">
      <c r="B276" s="14"/>
      <c r="C276" s="253"/>
      <c r="D276" s="253"/>
      <c r="E276" s="253"/>
      <c r="F276" s="253"/>
      <c r="G276" s="14"/>
    </row>
    <row r="277" spans="2:13" x14ac:dyDescent="0.25">
      <c r="B277" s="13" t="s">
        <v>515</v>
      </c>
      <c r="C277" s="252" t="s">
        <v>513</v>
      </c>
      <c r="D277" s="252"/>
      <c r="E277" s="252" t="s">
        <v>1878</v>
      </c>
      <c r="F277" s="252"/>
      <c r="G277" s="14"/>
    </row>
    <row r="278" spans="2:13" x14ac:dyDescent="0.25">
      <c r="B278" s="13"/>
      <c r="C278" s="188"/>
      <c r="D278" s="188"/>
      <c r="E278" s="188"/>
      <c r="F278" s="188"/>
      <c r="G278" s="14"/>
    </row>
    <row r="279" spans="2:13" x14ac:dyDescent="0.25">
      <c r="B279" s="14" t="s">
        <v>1224</v>
      </c>
      <c r="C279" s="253" t="s">
        <v>516</v>
      </c>
      <c r="D279" s="253"/>
      <c r="E279" s="253" t="s">
        <v>1630</v>
      </c>
      <c r="F279" s="253"/>
      <c r="G279" s="14"/>
    </row>
    <row r="280" spans="2:13" x14ac:dyDescent="0.25">
      <c r="G280" s="14"/>
    </row>
    <row r="282" spans="2:13" ht="23.25" x14ac:dyDescent="0.35">
      <c r="B282" s="29" t="s">
        <v>334</v>
      </c>
      <c r="C282" s="229" t="s">
        <v>6289</v>
      </c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</row>
    <row r="283" spans="2:13" ht="18" x14ac:dyDescent="0.25">
      <c r="B283" s="12" t="s">
        <v>335</v>
      </c>
      <c r="C283" s="1" t="s">
        <v>231</v>
      </c>
      <c r="E283" s="228" t="s">
        <v>427</v>
      </c>
      <c r="F283" s="228"/>
      <c r="G283" s="1" t="s">
        <v>6290</v>
      </c>
      <c r="L283" s="12" t="s">
        <v>339</v>
      </c>
      <c r="M283" s="78" t="s">
        <v>278</v>
      </c>
    </row>
    <row r="285" spans="2:13" x14ac:dyDescent="0.25">
      <c r="B285" s="2" t="s">
        <v>341</v>
      </c>
      <c r="C285" s="322" t="s">
        <v>430</v>
      </c>
      <c r="D285" s="322"/>
      <c r="E285" s="322" t="s">
        <v>805</v>
      </c>
      <c r="F285" s="322"/>
      <c r="G285" s="228" t="s">
        <v>345</v>
      </c>
      <c r="H285" s="228"/>
      <c r="I285" s="228"/>
      <c r="J285" s="228"/>
      <c r="K285" s="228"/>
      <c r="L285" s="228"/>
      <c r="M285" s="228"/>
    </row>
    <row r="286" spans="2:13" x14ac:dyDescent="0.25">
      <c r="C286" s="14"/>
      <c r="D286" s="14"/>
      <c r="E286" s="14"/>
      <c r="F286" s="14"/>
    </row>
    <row r="287" spans="2:13" x14ac:dyDescent="0.25">
      <c r="B287" s="13" t="s">
        <v>652</v>
      </c>
      <c r="C287" s="252" t="s">
        <v>6291</v>
      </c>
      <c r="D287" s="252"/>
      <c r="E287" s="252" t="s">
        <v>6292</v>
      </c>
      <c r="F287" s="252"/>
      <c r="G287" s="14" t="s">
        <v>6293</v>
      </c>
    </row>
    <row r="288" spans="2:13" x14ac:dyDescent="0.25">
      <c r="B288" s="13"/>
      <c r="C288" s="188"/>
      <c r="D288" s="188"/>
      <c r="E288" s="188"/>
      <c r="F288" s="188"/>
      <c r="G288" s="14" t="s">
        <v>6294</v>
      </c>
    </row>
    <row r="289" spans="2:13" x14ac:dyDescent="0.25">
      <c r="B289" s="14" t="s">
        <v>518</v>
      </c>
      <c r="C289" s="290" t="s">
        <v>516</v>
      </c>
      <c r="D289" s="290"/>
      <c r="E289" s="290" t="s">
        <v>513</v>
      </c>
      <c r="F289" s="290"/>
      <c r="G289" s="14" t="s">
        <v>6295</v>
      </c>
    </row>
    <row r="290" spans="2:13" x14ac:dyDescent="0.25">
      <c r="B290" s="14"/>
      <c r="C290" s="189"/>
      <c r="D290" s="189"/>
      <c r="E290" s="189"/>
      <c r="F290" s="189"/>
      <c r="G290" s="14" t="s">
        <v>6296</v>
      </c>
    </row>
    <row r="291" spans="2:13" x14ac:dyDescent="0.25">
      <c r="B291" s="13" t="s">
        <v>6297</v>
      </c>
      <c r="C291" s="252" t="s">
        <v>374</v>
      </c>
      <c r="D291" s="252"/>
      <c r="E291" s="323" t="s">
        <v>1194</v>
      </c>
      <c r="F291" s="323"/>
      <c r="G291" s="14" t="s">
        <v>6298</v>
      </c>
    </row>
    <row r="292" spans="2:13" x14ac:dyDescent="0.25">
      <c r="B292" s="13"/>
      <c r="C292" s="188"/>
      <c r="D292" s="188"/>
      <c r="E292" s="188"/>
      <c r="F292" s="188"/>
      <c r="G292" s="14" t="s">
        <v>6299</v>
      </c>
    </row>
    <row r="293" spans="2:13" x14ac:dyDescent="0.25">
      <c r="B293" s="14" t="s">
        <v>5639</v>
      </c>
      <c r="C293" s="290" t="s">
        <v>524</v>
      </c>
      <c r="D293" s="290"/>
      <c r="E293" s="290" t="s">
        <v>373</v>
      </c>
      <c r="F293" s="290"/>
      <c r="G293" s="14" t="s">
        <v>6300</v>
      </c>
    </row>
    <row r="294" spans="2:13" x14ac:dyDescent="0.25">
      <c r="B294" s="14"/>
      <c r="C294" s="199"/>
      <c r="D294" s="199"/>
      <c r="E294" s="199"/>
      <c r="F294" s="199"/>
      <c r="G294" s="14" t="s">
        <v>6301</v>
      </c>
    </row>
    <row r="295" spans="2:13" x14ac:dyDescent="0.25">
      <c r="B295" s="14"/>
      <c r="C295" s="199"/>
      <c r="D295" s="199"/>
      <c r="E295" s="199"/>
      <c r="F295" s="199"/>
      <c r="G295" s="14" t="s">
        <v>6302</v>
      </c>
    </row>
    <row r="296" spans="2:13" x14ac:dyDescent="0.25">
      <c r="B296" s="14"/>
      <c r="C296" s="199"/>
      <c r="D296" s="199"/>
      <c r="E296" s="199"/>
      <c r="F296" s="199"/>
      <c r="G296" s="14" t="s">
        <v>6303</v>
      </c>
    </row>
    <row r="297" spans="2:13" ht="15.75" thickBot="1" x14ac:dyDescent="0.3">
      <c r="B297" s="14"/>
      <c r="C297" s="199"/>
      <c r="D297" s="199"/>
      <c r="E297" s="199"/>
      <c r="F297" s="199"/>
      <c r="G297" s="14" t="s">
        <v>6304</v>
      </c>
    </row>
    <row r="298" spans="2:13" x14ac:dyDescent="0.25">
      <c r="B298" s="217" t="s">
        <v>401</v>
      </c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9"/>
    </row>
    <row r="299" spans="2:13" x14ac:dyDescent="0.25">
      <c r="B299" s="3" t="s">
        <v>402</v>
      </c>
      <c r="C299" s="232" t="s">
        <v>403</v>
      </c>
      <c r="D299" s="232"/>
      <c r="E299" s="232" t="s">
        <v>467</v>
      </c>
      <c r="F299" s="232"/>
      <c r="G299" s="232" t="s">
        <v>405</v>
      </c>
      <c r="H299" s="232"/>
      <c r="I299" s="232" t="s">
        <v>406</v>
      </c>
      <c r="J299" s="232"/>
      <c r="K299" s="234" t="s">
        <v>468</v>
      </c>
      <c r="L299" s="235"/>
      <c r="M299" s="236"/>
    </row>
    <row r="300" spans="2:13" ht="15.75" thickBot="1" x14ac:dyDescent="0.3">
      <c r="B300" s="5"/>
      <c r="C300" s="237">
        <v>0.5</v>
      </c>
      <c r="D300" s="238"/>
      <c r="E300" s="239"/>
      <c r="F300" s="238"/>
      <c r="G300" s="240"/>
      <c r="H300" s="240"/>
      <c r="I300" s="241"/>
      <c r="J300" s="241"/>
      <c r="K300" s="242"/>
      <c r="L300" s="243"/>
      <c r="M300" s="244"/>
    </row>
    <row r="301" spans="2:13" ht="15.75" thickBot="1" x14ac:dyDescent="0.3"/>
    <row r="302" spans="2:13" x14ac:dyDescent="0.25">
      <c r="B302" s="217" t="s">
        <v>408</v>
      </c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9"/>
    </row>
    <row r="303" spans="2:13" x14ac:dyDescent="0.25">
      <c r="B303" s="3" t="s">
        <v>6305</v>
      </c>
      <c r="C303" s="232" t="s">
        <v>6306</v>
      </c>
      <c r="D303" s="232"/>
      <c r="E303" s="268" t="s">
        <v>6307</v>
      </c>
      <c r="F303" s="268"/>
      <c r="G303" s="232" t="s">
        <v>692</v>
      </c>
      <c r="H303" s="232"/>
      <c r="I303" s="232" t="s">
        <v>6308</v>
      </c>
      <c r="J303" s="232"/>
      <c r="K303" s="232" t="s">
        <v>6309</v>
      </c>
      <c r="L303" s="232"/>
      <c r="M303" s="269"/>
    </row>
    <row r="304" spans="2:13" ht="15.75" thickBot="1" x14ac:dyDescent="0.3">
      <c r="B304" s="5" t="s">
        <v>6310</v>
      </c>
      <c r="C304" s="237" t="s">
        <v>6311</v>
      </c>
      <c r="D304" s="238"/>
      <c r="E304" s="240" t="s">
        <v>567</v>
      </c>
      <c r="F304" s="240"/>
      <c r="G304" s="240" t="s">
        <v>6312</v>
      </c>
      <c r="H304" s="240"/>
      <c r="I304" s="240" t="s">
        <v>569</v>
      </c>
      <c r="J304" s="240"/>
      <c r="K304" s="240" t="s">
        <v>6054</v>
      </c>
      <c r="L304" s="240"/>
      <c r="M304" s="267"/>
    </row>
    <row r="306" spans="2:13" ht="23.25" x14ac:dyDescent="0.35">
      <c r="B306" s="29" t="s">
        <v>334</v>
      </c>
      <c r="C306" s="229" t="s">
        <v>261</v>
      </c>
      <c r="D306" s="229"/>
      <c r="E306" s="229"/>
      <c r="F306" s="229"/>
      <c r="G306" s="229"/>
      <c r="H306" s="229"/>
      <c r="I306" s="229"/>
    </row>
    <row r="307" spans="2:13" ht="18" x14ac:dyDescent="0.25">
      <c r="B307" s="12" t="s">
        <v>335</v>
      </c>
      <c r="C307" s="1" t="s">
        <v>231</v>
      </c>
      <c r="F307" s="228" t="s">
        <v>427</v>
      </c>
      <c r="G307" s="228"/>
      <c r="H307" s="1" t="s">
        <v>2096</v>
      </c>
      <c r="L307" s="12" t="s">
        <v>339</v>
      </c>
      <c r="M307" s="78" t="s">
        <v>260</v>
      </c>
    </row>
    <row r="309" spans="2:13" x14ac:dyDescent="0.25">
      <c r="B309" s="2" t="s">
        <v>341</v>
      </c>
      <c r="C309" s="250" t="s">
        <v>4383</v>
      </c>
      <c r="D309" s="250"/>
      <c r="E309" s="250" t="s">
        <v>954</v>
      </c>
      <c r="F309" s="250"/>
      <c r="G309" s="228" t="s">
        <v>345</v>
      </c>
      <c r="H309" s="228"/>
      <c r="I309" s="228"/>
      <c r="J309" s="228"/>
      <c r="K309" s="228"/>
      <c r="L309" s="228"/>
      <c r="M309" s="228"/>
    </row>
    <row r="311" spans="2:13" x14ac:dyDescent="0.25">
      <c r="B311" s="13" t="s">
        <v>1549</v>
      </c>
      <c r="C311" s="252" t="s">
        <v>6313</v>
      </c>
      <c r="D311" s="252"/>
      <c r="E311" s="252" t="s">
        <v>4947</v>
      </c>
      <c r="F311" s="252"/>
      <c r="G311" s="14" t="s">
        <v>6314</v>
      </c>
      <c r="H311" s="14"/>
    </row>
    <row r="312" spans="2:13" x14ac:dyDescent="0.25">
      <c r="B312" s="13"/>
      <c r="C312" s="188"/>
      <c r="D312" s="188"/>
      <c r="E312" s="188"/>
      <c r="F312" s="188"/>
      <c r="G312" s="14" t="s">
        <v>6315</v>
      </c>
      <c r="H312" s="14"/>
    </row>
    <row r="313" spans="2:13" x14ac:dyDescent="0.25">
      <c r="B313" s="14" t="s">
        <v>6316</v>
      </c>
      <c r="C313" s="290" t="s">
        <v>1109</v>
      </c>
      <c r="D313" s="290"/>
      <c r="E313" s="290" t="s">
        <v>357</v>
      </c>
      <c r="F313" s="290"/>
      <c r="G313" s="14" t="s">
        <v>6317</v>
      </c>
      <c r="H313" s="14"/>
    </row>
    <row r="314" spans="2:13" x14ac:dyDescent="0.25">
      <c r="B314" s="14"/>
      <c r="C314" s="189"/>
      <c r="D314" s="189"/>
      <c r="E314" s="189"/>
      <c r="F314" s="189"/>
      <c r="G314" s="14" t="s">
        <v>6318</v>
      </c>
      <c r="H314" s="14"/>
    </row>
    <row r="315" spans="2:13" x14ac:dyDescent="0.25">
      <c r="B315" s="13" t="s">
        <v>366</v>
      </c>
      <c r="C315" s="252" t="s">
        <v>787</v>
      </c>
      <c r="D315" s="252"/>
      <c r="E315" s="323" t="s">
        <v>4465</v>
      </c>
      <c r="F315" s="323"/>
      <c r="G315" s="14" t="s">
        <v>6319</v>
      </c>
      <c r="H315" s="14"/>
    </row>
    <row r="316" spans="2:13" x14ac:dyDescent="0.25">
      <c r="B316" s="13"/>
      <c r="C316" s="188"/>
      <c r="D316" s="188"/>
      <c r="E316" s="188"/>
      <c r="F316" s="188"/>
      <c r="G316" s="14" t="s">
        <v>6320</v>
      </c>
      <c r="H316" s="14"/>
    </row>
    <row r="317" spans="2:13" x14ac:dyDescent="0.25">
      <c r="B317" s="14" t="s">
        <v>3511</v>
      </c>
      <c r="C317" s="290" t="s">
        <v>787</v>
      </c>
      <c r="D317" s="290"/>
      <c r="E317" s="290" t="s">
        <v>4465</v>
      </c>
      <c r="F317" s="290"/>
      <c r="G317" s="14"/>
      <c r="H317" s="14"/>
    </row>
    <row r="318" spans="2:13" x14ac:dyDescent="0.25">
      <c r="B318" s="14"/>
      <c r="C318" s="189"/>
      <c r="D318" s="189"/>
      <c r="E318" s="189"/>
      <c r="F318" s="189"/>
      <c r="G318" s="14"/>
      <c r="H318" s="14"/>
    </row>
    <row r="319" spans="2:13" x14ac:dyDescent="0.25">
      <c r="B319" s="13" t="s">
        <v>1710</v>
      </c>
      <c r="C319" s="252" t="s">
        <v>1109</v>
      </c>
      <c r="D319" s="252"/>
      <c r="E319" s="252" t="s">
        <v>357</v>
      </c>
      <c r="F319" s="252"/>
      <c r="G319" s="14"/>
    </row>
    <row r="320" spans="2:13" x14ac:dyDescent="0.25">
      <c r="B320" s="13"/>
      <c r="C320" s="188"/>
      <c r="D320" s="188"/>
      <c r="E320" s="188"/>
      <c r="F320" s="188"/>
      <c r="G320" s="14"/>
    </row>
    <row r="321" spans="2:13" x14ac:dyDescent="0.25">
      <c r="B321" s="14" t="s">
        <v>6321</v>
      </c>
      <c r="C321" s="290" t="s">
        <v>2587</v>
      </c>
      <c r="D321" s="290"/>
      <c r="E321" s="290" t="s">
        <v>383</v>
      </c>
      <c r="F321" s="290"/>
      <c r="G321" s="14"/>
    </row>
    <row r="322" spans="2:13" x14ac:dyDescent="0.25">
      <c r="B322" s="14"/>
      <c r="C322" s="189"/>
      <c r="D322" s="189"/>
      <c r="E322" s="189"/>
      <c r="F322" s="189"/>
      <c r="G322" s="14"/>
    </row>
    <row r="323" spans="2:13" x14ac:dyDescent="0.25">
      <c r="B323" s="13" t="s">
        <v>2153</v>
      </c>
      <c r="C323" s="252" t="s">
        <v>6322</v>
      </c>
      <c r="D323" s="252"/>
      <c r="E323" s="252" t="s">
        <v>6323</v>
      </c>
      <c r="F323" s="252"/>
      <c r="G323" s="14"/>
    </row>
    <row r="324" spans="2:13" x14ac:dyDescent="0.25">
      <c r="B324" s="13"/>
      <c r="C324" s="188"/>
      <c r="D324" s="188"/>
      <c r="E324" s="188"/>
      <c r="F324" s="188"/>
      <c r="G324" s="14"/>
    </row>
    <row r="325" spans="2:13" x14ac:dyDescent="0.25">
      <c r="B325" s="14" t="s">
        <v>6324</v>
      </c>
      <c r="C325" s="290" t="s">
        <v>6325</v>
      </c>
      <c r="D325" s="290"/>
      <c r="E325" s="290" t="s">
        <v>6326</v>
      </c>
      <c r="F325" s="290"/>
      <c r="G325" s="14"/>
    </row>
    <row r="326" spans="2:13" x14ac:dyDescent="0.25">
      <c r="B326" s="14"/>
      <c r="C326" s="189"/>
      <c r="D326" s="189"/>
      <c r="E326" s="189"/>
      <c r="F326" s="189"/>
      <c r="G326" s="14"/>
      <c r="I326" s="14"/>
    </row>
    <row r="327" spans="2:13" x14ac:dyDescent="0.25">
      <c r="B327" s="13" t="s">
        <v>3160</v>
      </c>
      <c r="C327" s="252" t="s">
        <v>2036</v>
      </c>
      <c r="D327" s="252"/>
      <c r="E327" s="252" t="s">
        <v>4954</v>
      </c>
      <c r="F327" s="252"/>
      <c r="G327" s="14"/>
    </row>
    <row r="328" spans="2:13" x14ac:dyDescent="0.25">
      <c r="B328" s="13"/>
      <c r="C328" s="188"/>
      <c r="D328" s="188"/>
      <c r="E328" s="188"/>
      <c r="F328" s="188"/>
      <c r="G328" s="14"/>
    </row>
    <row r="329" spans="2:13" x14ac:dyDescent="0.25">
      <c r="B329" s="31" t="s">
        <v>6327</v>
      </c>
      <c r="C329" s="255" t="s">
        <v>2036</v>
      </c>
      <c r="D329" s="255"/>
      <c r="E329" s="255" t="s">
        <v>4954</v>
      </c>
      <c r="F329" s="255"/>
      <c r="G329" s="14"/>
    </row>
    <row r="330" spans="2:13" ht="15.75" thickBot="1" x14ac:dyDescent="0.3">
      <c r="B330" s="31"/>
      <c r="C330" s="191"/>
      <c r="D330" s="191"/>
      <c r="E330" s="191"/>
      <c r="F330" s="191"/>
      <c r="G330" s="14"/>
    </row>
    <row r="331" spans="2:13" x14ac:dyDescent="0.25">
      <c r="B331" s="217" t="s">
        <v>401</v>
      </c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9"/>
    </row>
    <row r="332" spans="2:13" x14ac:dyDescent="0.25">
      <c r="B332" s="3" t="s">
        <v>402</v>
      </c>
      <c r="C332" s="232" t="s">
        <v>403</v>
      </c>
      <c r="D332" s="232"/>
      <c r="E332" s="232" t="s">
        <v>467</v>
      </c>
      <c r="F332" s="232"/>
      <c r="G332" s="232" t="s">
        <v>405</v>
      </c>
      <c r="H332" s="232"/>
      <c r="I332" s="232" t="s">
        <v>406</v>
      </c>
      <c r="J332" s="232"/>
      <c r="K332" s="234" t="s">
        <v>468</v>
      </c>
      <c r="L332" s="235"/>
      <c r="M332" s="236"/>
    </row>
    <row r="333" spans="2:13" ht="15.75" thickBot="1" x14ac:dyDescent="0.3">
      <c r="B333" s="5">
        <v>0.70599999999999996</v>
      </c>
      <c r="C333" s="237">
        <v>3.25</v>
      </c>
      <c r="D333" s="238"/>
      <c r="E333" s="239">
        <v>3.3689999999999998E-2</v>
      </c>
      <c r="F333" s="238"/>
      <c r="G333" s="240"/>
      <c r="H333" s="240"/>
      <c r="I333" s="241"/>
      <c r="J333" s="241"/>
      <c r="K333" s="242"/>
      <c r="L333" s="243"/>
      <c r="M333" s="244"/>
    </row>
    <row r="334" spans="2:13" ht="15.75" thickBot="1" x14ac:dyDescent="0.3">
      <c r="B334" s="1"/>
      <c r="C334" s="1"/>
      <c r="D334" s="1"/>
      <c r="E334" s="1"/>
      <c r="F334" s="1"/>
      <c r="G334" s="1"/>
      <c r="H334" s="1"/>
    </row>
    <row r="335" spans="2:13" x14ac:dyDescent="0.25">
      <c r="B335" s="217" t="s">
        <v>408</v>
      </c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9"/>
    </row>
    <row r="336" spans="2:13" x14ac:dyDescent="0.25">
      <c r="B336" s="3" t="s">
        <v>6328</v>
      </c>
      <c r="C336" s="232" t="s">
        <v>5713</v>
      </c>
      <c r="D336" s="232"/>
      <c r="E336" s="268" t="s">
        <v>1993</v>
      </c>
      <c r="F336" s="268"/>
      <c r="G336" s="232" t="s">
        <v>692</v>
      </c>
      <c r="H336" s="232"/>
      <c r="I336" s="232" t="s">
        <v>6329</v>
      </c>
      <c r="J336" s="232"/>
      <c r="K336" s="232" t="s">
        <v>6330</v>
      </c>
      <c r="L336" s="232"/>
      <c r="M336" s="269"/>
    </row>
    <row r="337" spans="2:13" ht="15.75" thickBot="1" x14ac:dyDescent="0.3">
      <c r="B337" s="5" t="s">
        <v>1144</v>
      </c>
      <c r="C337" s="237" t="s">
        <v>916</v>
      </c>
      <c r="D337" s="238"/>
      <c r="E337" s="240" t="s">
        <v>6331</v>
      </c>
      <c r="F337" s="240"/>
      <c r="G337" s="240" t="s">
        <v>6332</v>
      </c>
      <c r="H337" s="240"/>
      <c r="I337" s="240" t="s">
        <v>5750</v>
      </c>
      <c r="J337" s="240"/>
      <c r="K337" s="240" t="s">
        <v>6333</v>
      </c>
      <c r="L337" s="240"/>
      <c r="M337" s="267"/>
    </row>
    <row r="339" spans="2:13" ht="23.25" x14ac:dyDescent="0.35">
      <c r="B339" s="29" t="s">
        <v>334</v>
      </c>
      <c r="C339" s="229" t="s">
        <v>6334</v>
      </c>
      <c r="D339" s="229"/>
      <c r="E339" s="229"/>
      <c r="F339" s="229"/>
      <c r="G339" s="229"/>
      <c r="H339" s="229"/>
      <c r="I339" s="229"/>
    </row>
    <row r="340" spans="2:13" ht="18" x14ac:dyDescent="0.25">
      <c r="B340" s="12" t="s">
        <v>335</v>
      </c>
      <c r="C340" s="1" t="s">
        <v>231</v>
      </c>
      <c r="F340" s="228" t="s">
        <v>427</v>
      </c>
      <c r="G340" s="228"/>
      <c r="H340" s="1" t="s">
        <v>3637</v>
      </c>
      <c r="L340" s="12" t="s">
        <v>339</v>
      </c>
      <c r="M340" s="78" t="s">
        <v>293</v>
      </c>
    </row>
    <row r="342" spans="2:13" x14ac:dyDescent="0.25">
      <c r="B342" s="2" t="s">
        <v>341</v>
      </c>
      <c r="C342" s="250" t="s">
        <v>6335</v>
      </c>
      <c r="D342" s="250"/>
      <c r="E342" s="228" t="s">
        <v>345</v>
      </c>
      <c r="F342" s="228"/>
      <c r="G342" s="228"/>
      <c r="H342" s="228"/>
      <c r="I342" s="228"/>
      <c r="J342" s="228"/>
      <c r="K342" s="228"/>
    </row>
    <row r="344" spans="2:13" x14ac:dyDescent="0.25">
      <c r="B344" s="13" t="s">
        <v>6336</v>
      </c>
      <c r="C344" s="252" t="s">
        <v>1518</v>
      </c>
      <c r="D344" s="252"/>
      <c r="E344" s="14" t="s">
        <v>6337</v>
      </c>
      <c r="F344" s="14"/>
    </row>
    <row r="345" spans="2:13" x14ac:dyDescent="0.25">
      <c r="B345" s="13"/>
      <c r="C345" s="188"/>
      <c r="D345" s="188"/>
      <c r="E345" s="14"/>
      <c r="F345" s="14"/>
    </row>
    <row r="346" spans="2:13" x14ac:dyDescent="0.25">
      <c r="B346" s="14" t="s">
        <v>6338</v>
      </c>
      <c r="C346" s="290" t="s">
        <v>496</v>
      </c>
      <c r="D346" s="290"/>
      <c r="E346" s="14"/>
      <c r="F346" s="14"/>
    </row>
    <row r="347" spans="2:13" x14ac:dyDescent="0.25">
      <c r="B347" s="14"/>
      <c r="C347" s="189"/>
      <c r="D347" s="189"/>
      <c r="E347" s="14"/>
      <c r="F347" s="14"/>
    </row>
    <row r="348" spans="2:13" x14ac:dyDescent="0.25">
      <c r="B348" s="13" t="s">
        <v>6339</v>
      </c>
      <c r="C348" s="252" t="s">
        <v>2708</v>
      </c>
      <c r="D348" s="252"/>
      <c r="E348" s="14"/>
      <c r="F348" s="14"/>
    </row>
    <row r="349" spans="2:13" x14ac:dyDescent="0.25">
      <c r="B349" s="13"/>
      <c r="C349" s="188"/>
      <c r="D349" s="188"/>
      <c r="E349" s="14"/>
      <c r="F349" s="14"/>
    </row>
    <row r="350" spans="2:13" x14ac:dyDescent="0.25">
      <c r="B350" s="14" t="s">
        <v>6340</v>
      </c>
      <c r="C350" s="290" t="s">
        <v>6341</v>
      </c>
      <c r="D350" s="290"/>
      <c r="E350" s="14"/>
      <c r="F350" s="14"/>
    </row>
    <row r="351" spans="2:13" x14ac:dyDescent="0.25">
      <c r="B351" s="14"/>
      <c r="C351" s="189"/>
      <c r="D351" s="189"/>
      <c r="E351" s="14"/>
      <c r="F351" s="14"/>
    </row>
    <row r="352" spans="2:13" x14ac:dyDescent="0.25">
      <c r="B352" s="13" t="s">
        <v>1952</v>
      </c>
      <c r="C352" s="252" t="s">
        <v>1127</v>
      </c>
      <c r="D352" s="252"/>
      <c r="E352" s="14"/>
    </row>
    <row r="353" spans="2:13" x14ac:dyDescent="0.25">
      <c r="B353" s="13"/>
      <c r="C353" s="188"/>
      <c r="D353" s="188"/>
      <c r="E353" s="14"/>
    </row>
    <row r="354" spans="2:13" x14ac:dyDescent="0.25">
      <c r="B354" s="14" t="s">
        <v>1046</v>
      </c>
      <c r="C354" s="290" t="s">
        <v>513</v>
      </c>
      <c r="D354" s="290"/>
      <c r="E354" s="14"/>
    </row>
    <row r="355" spans="2:13" x14ac:dyDescent="0.25">
      <c r="B355" s="14"/>
      <c r="C355" s="189"/>
      <c r="D355" s="189"/>
      <c r="E355" s="14"/>
    </row>
    <row r="356" spans="2:13" x14ac:dyDescent="0.25">
      <c r="B356" s="13" t="s">
        <v>518</v>
      </c>
      <c r="C356" s="252" t="s">
        <v>3028</v>
      </c>
      <c r="D356" s="252"/>
      <c r="E356" s="14"/>
    </row>
    <row r="357" spans="2:13" x14ac:dyDescent="0.25">
      <c r="B357" s="13"/>
      <c r="C357" s="188"/>
      <c r="D357" s="188"/>
      <c r="E357" s="14"/>
    </row>
    <row r="358" spans="2:13" x14ac:dyDescent="0.25">
      <c r="B358" s="14" t="s">
        <v>6342</v>
      </c>
      <c r="C358" s="290" t="s">
        <v>527</v>
      </c>
      <c r="D358" s="290"/>
      <c r="E358" s="14"/>
    </row>
    <row r="359" spans="2:13" x14ac:dyDescent="0.25">
      <c r="B359" s="14"/>
      <c r="C359" s="189"/>
      <c r="D359" s="189"/>
      <c r="E359" s="14"/>
      <c r="G359" s="14"/>
    </row>
    <row r="360" spans="2:13" x14ac:dyDescent="0.25">
      <c r="B360" s="13" t="s">
        <v>1408</v>
      </c>
      <c r="C360" s="252" t="s">
        <v>508</v>
      </c>
      <c r="D360" s="252"/>
      <c r="E360" s="14"/>
    </row>
    <row r="361" spans="2:13" ht="15.75" thickBot="1" x14ac:dyDescent="0.3">
      <c r="B361" s="13"/>
      <c r="C361" s="188"/>
      <c r="D361" s="188"/>
      <c r="E361" s="14"/>
    </row>
    <row r="362" spans="2:13" x14ac:dyDescent="0.25">
      <c r="B362" s="217" t="s">
        <v>401</v>
      </c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9"/>
    </row>
    <row r="363" spans="2:13" x14ac:dyDescent="0.25">
      <c r="B363" s="3" t="s">
        <v>402</v>
      </c>
      <c r="C363" s="232" t="s">
        <v>403</v>
      </c>
      <c r="D363" s="232"/>
      <c r="E363" s="232" t="s">
        <v>467</v>
      </c>
      <c r="F363" s="232"/>
      <c r="G363" s="232" t="s">
        <v>405</v>
      </c>
      <c r="H363" s="232"/>
      <c r="I363" s="232" t="s">
        <v>406</v>
      </c>
      <c r="J363" s="232"/>
      <c r="K363" s="234" t="s">
        <v>468</v>
      </c>
      <c r="L363" s="235"/>
      <c r="M363" s="236"/>
    </row>
    <row r="364" spans="2:13" ht="15.75" thickBot="1" x14ac:dyDescent="0.3">
      <c r="B364" s="5"/>
      <c r="C364" s="237"/>
      <c r="D364" s="238"/>
      <c r="E364" s="239">
        <v>0.159</v>
      </c>
      <c r="F364" s="238"/>
      <c r="G364" s="240"/>
      <c r="H364" s="240"/>
      <c r="I364" s="241"/>
      <c r="J364" s="241"/>
      <c r="K364" s="242"/>
      <c r="L364" s="243"/>
      <c r="M364" s="244"/>
    </row>
    <row r="365" spans="2:13" ht="15.75" thickBot="1" x14ac:dyDescent="0.3">
      <c r="B365" s="1"/>
      <c r="C365" s="1"/>
      <c r="D365" s="1"/>
      <c r="E365" s="1"/>
      <c r="F365" s="1"/>
      <c r="G365" s="1"/>
      <c r="H365" s="1"/>
    </row>
    <row r="366" spans="2:13" x14ac:dyDescent="0.25">
      <c r="B366" s="217" t="s">
        <v>408</v>
      </c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9"/>
    </row>
    <row r="367" spans="2:13" x14ac:dyDescent="0.25">
      <c r="B367" s="3" t="s">
        <v>6343</v>
      </c>
      <c r="C367" s="232" t="s">
        <v>6344</v>
      </c>
      <c r="D367" s="232"/>
      <c r="E367" s="268" t="s">
        <v>4306</v>
      </c>
      <c r="F367" s="268"/>
      <c r="G367" s="232" t="s">
        <v>692</v>
      </c>
      <c r="H367" s="232"/>
      <c r="I367" s="232" t="s">
        <v>6345</v>
      </c>
      <c r="J367" s="232"/>
      <c r="K367" s="232" t="s">
        <v>6346</v>
      </c>
      <c r="L367" s="232"/>
      <c r="M367" s="269"/>
    </row>
    <row r="368" spans="2:13" ht="15.75" thickBot="1" x14ac:dyDescent="0.3">
      <c r="B368" s="5" t="s">
        <v>915</v>
      </c>
      <c r="C368" s="237" t="s">
        <v>2257</v>
      </c>
      <c r="D368" s="238"/>
      <c r="E368" s="240" t="s">
        <v>6347</v>
      </c>
      <c r="F368" s="240"/>
      <c r="G368" s="240" t="s">
        <v>6348</v>
      </c>
      <c r="H368" s="240"/>
      <c r="I368" s="240" t="s">
        <v>2304</v>
      </c>
      <c r="J368" s="240"/>
      <c r="K368" s="240" t="s">
        <v>2475</v>
      </c>
      <c r="L368" s="240"/>
      <c r="M368" s="267"/>
    </row>
  </sheetData>
  <mergeCells count="432">
    <mergeCell ref="K63:M63"/>
    <mergeCell ref="C368:D368"/>
    <mergeCell ref="E368:F368"/>
    <mergeCell ref="G368:H368"/>
    <mergeCell ref="I368:J368"/>
    <mergeCell ref="K368:M368"/>
    <mergeCell ref="C364:D364"/>
    <mergeCell ref="E364:F364"/>
    <mergeCell ref="G364:H364"/>
    <mergeCell ref="I364:J364"/>
    <mergeCell ref="K364:M364"/>
    <mergeCell ref="B366:M366"/>
    <mergeCell ref="C367:D367"/>
    <mergeCell ref="E367:F367"/>
    <mergeCell ref="G367:H367"/>
    <mergeCell ref="I367:J367"/>
    <mergeCell ref="K367:M367"/>
    <mergeCell ref="C358:D358"/>
    <mergeCell ref="C360:D360"/>
    <mergeCell ref="B362:M362"/>
    <mergeCell ref="C363:D363"/>
    <mergeCell ref="E363:F363"/>
    <mergeCell ref="G363:H363"/>
    <mergeCell ref="I363:J363"/>
    <mergeCell ref="K363:M363"/>
    <mergeCell ref="C348:D348"/>
    <mergeCell ref="C350:D350"/>
    <mergeCell ref="C352:D352"/>
    <mergeCell ref="C354:D354"/>
    <mergeCell ref="C356:D356"/>
    <mergeCell ref="C339:I339"/>
    <mergeCell ref="F340:G340"/>
    <mergeCell ref="C342:D342"/>
    <mergeCell ref="E342:K342"/>
    <mergeCell ref="C344:D344"/>
    <mergeCell ref="C346:D346"/>
    <mergeCell ref="C337:D337"/>
    <mergeCell ref="E337:F337"/>
    <mergeCell ref="G337:H337"/>
    <mergeCell ref="I337:J337"/>
    <mergeCell ref="K337:M337"/>
    <mergeCell ref="C315:D315"/>
    <mergeCell ref="E315:F315"/>
    <mergeCell ref="C317:D317"/>
    <mergeCell ref="E317:F317"/>
    <mergeCell ref="C319:D319"/>
    <mergeCell ref="E319:F319"/>
    <mergeCell ref="C321:D321"/>
    <mergeCell ref="E321:F321"/>
    <mergeCell ref="C323:D323"/>
    <mergeCell ref="E323:F323"/>
    <mergeCell ref="C336:D336"/>
    <mergeCell ref="E336:F336"/>
    <mergeCell ref="G336:H336"/>
    <mergeCell ref="I336:J336"/>
    <mergeCell ref="K336:M336"/>
    <mergeCell ref="C325:D325"/>
    <mergeCell ref="E325:F325"/>
    <mergeCell ref="C327:D327"/>
    <mergeCell ref="E327:F327"/>
    <mergeCell ref="G332:H332"/>
    <mergeCell ref="I332:J332"/>
    <mergeCell ref="K332:M332"/>
    <mergeCell ref="C329:D329"/>
    <mergeCell ref="E329:F329"/>
    <mergeCell ref="C333:D333"/>
    <mergeCell ref="E333:F333"/>
    <mergeCell ref="G333:H333"/>
    <mergeCell ref="I333:J333"/>
    <mergeCell ref="K333:M333"/>
    <mergeCell ref="B335:M335"/>
    <mergeCell ref="E311:F311"/>
    <mergeCell ref="C313:D313"/>
    <mergeCell ref="E313:F313"/>
    <mergeCell ref="B302:M302"/>
    <mergeCell ref="C303:D303"/>
    <mergeCell ref="E303:F303"/>
    <mergeCell ref="G303:H303"/>
    <mergeCell ref="I303:J303"/>
    <mergeCell ref="K303:M303"/>
    <mergeCell ref="C304:D304"/>
    <mergeCell ref="E304:F304"/>
    <mergeCell ref="G304:H304"/>
    <mergeCell ref="I304:J304"/>
    <mergeCell ref="K304:M304"/>
    <mergeCell ref="C306:I306"/>
    <mergeCell ref="F307:G307"/>
    <mergeCell ref="C309:D309"/>
    <mergeCell ref="E309:F309"/>
    <mergeCell ref="G309:M309"/>
    <mergeCell ref="C311:D311"/>
    <mergeCell ref="B331:M331"/>
    <mergeCell ref="C332:D332"/>
    <mergeCell ref="E332:F332"/>
    <mergeCell ref="B298:M298"/>
    <mergeCell ref="C299:D299"/>
    <mergeCell ref="E299:F299"/>
    <mergeCell ref="G299:H299"/>
    <mergeCell ref="I299:J299"/>
    <mergeCell ref="K299:M299"/>
    <mergeCell ref="C300:D300"/>
    <mergeCell ref="E300:F300"/>
    <mergeCell ref="G300:H300"/>
    <mergeCell ref="I300:J300"/>
    <mergeCell ref="K300:M300"/>
    <mergeCell ref="C287:D287"/>
    <mergeCell ref="E287:F287"/>
    <mergeCell ref="C289:D289"/>
    <mergeCell ref="E289:F289"/>
    <mergeCell ref="C291:D291"/>
    <mergeCell ref="E291:F291"/>
    <mergeCell ref="C293:D293"/>
    <mergeCell ref="E293:F293"/>
    <mergeCell ref="C276:D276"/>
    <mergeCell ref="E276:F276"/>
    <mergeCell ref="C277:D277"/>
    <mergeCell ref="E277:F277"/>
    <mergeCell ref="C279:D279"/>
    <mergeCell ref="E279:F279"/>
    <mergeCell ref="C282:M282"/>
    <mergeCell ref="E283:F283"/>
    <mergeCell ref="C285:D285"/>
    <mergeCell ref="E285:F285"/>
    <mergeCell ref="G285:M285"/>
    <mergeCell ref="C268:M268"/>
    <mergeCell ref="E269:F269"/>
    <mergeCell ref="C271:D271"/>
    <mergeCell ref="E271:F271"/>
    <mergeCell ref="G271:M271"/>
    <mergeCell ref="C273:D273"/>
    <mergeCell ref="E273:F273"/>
    <mergeCell ref="C275:D275"/>
    <mergeCell ref="E275:F275"/>
    <mergeCell ref="C266:D266"/>
    <mergeCell ref="E266:F266"/>
    <mergeCell ref="G266:H266"/>
    <mergeCell ref="I266:J266"/>
    <mergeCell ref="K266:M266"/>
    <mergeCell ref="G250:M250"/>
    <mergeCell ref="C258:D258"/>
    <mergeCell ref="E254:F254"/>
    <mergeCell ref="E255:F255"/>
    <mergeCell ref="E256:F256"/>
    <mergeCell ref="E258:F258"/>
    <mergeCell ref="C262:D262"/>
    <mergeCell ref="E262:F262"/>
    <mergeCell ref="G262:H262"/>
    <mergeCell ref="I262:J262"/>
    <mergeCell ref="K262:M262"/>
    <mergeCell ref="B264:M264"/>
    <mergeCell ref="C265:D265"/>
    <mergeCell ref="E265:F265"/>
    <mergeCell ref="G265:H265"/>
    <mergeCell ref="I265:J265"/>
    <mergeCell ref="K265:M265"/>
    <mergeCell ref="C254:D254"/>
    <mergeCell ref="C255:D255"/>
    <mergeCell ref="C256:D256"/>
    <mergeCell ref="B260:M260"/>
    <mergeCell ref="C261:D261"/>
    <mergeCell ref="E261:F261"/>
    <mergeCell ref="G261:H261"/>
    <mergeCell ref="I261:J261"/>
    <mergeCell ref="K261:M261"/>
    <mergeCell ref="C247:M247"/>
    <mergeCell ref="E248:F248"/>
    <mergeCell ref="C250:D250"/>
    <mergeCell ref="E250:F250"/>
    <mergeCell ref="C252:D252"/>
    <mergeCell ref="E252:F252"/>
    <mergeCell ref="B243:M243"/>
    <mergeCell ref="C244:D244"/>
    <mergeCell ref="E244:F244"/>
    <mergeCell ref="G244:H244"/>
    <mergeCell ref="I244:J244"/>
    <mergeCell ref="K244:M244"/>
    <mergeCell ref="C245:D245"/>
    <mergeCell ref="E245:F245"/>
    <mergeCell ref="G245:H245"/>
    <mergeCell ref="I245:J245"/>
    <mergeCell ref="K245:M245"/>
    <mergeCell ref="C240:D240"/>
    <mergeCell ref="E240:F240"/>
    <mergeCell ref="G240:H240"/>
    <mergeCell ref="I240:J240"/>
    <mergeCell ref="K240:M240"/>
    <mergeCell ref="C241:D241"/>
    <mergeCell ref="E241:F241"/>
    <mergeCell ref="G241:H241"/>
    <mergeCell ref="I241:J241"/>
    <mergeCell ref="K241:M241"/>
    <mergeCell ref="C213:M213"/>
    <mergeCell ref="E214:F214"/>
    <mergeCell ref="C216:D216"/>
    <mergeCell ref="C218:D218"/>
    <mergeCell ref="C220:D220"/>
    <mergeCell ref="C221:D221"/>
    <mergeCell ref="C222:D222"/>
    <mergeCell ref="B239:M239"/>
    <mergeCell ref="E216:F216"/>
    <mergeCell ref="E218:F218"/>
    <mergeCell ref="G216:H216"/>
    <mergeCell ref="G218:H218"/>
    <mergeCell ref="I216:M216"/>
    <mergeCell ref="C176:D176"/>
    <mergeCell ref="B209:M209"/>
    <mergeCell ref="C210:D210"/>
    <mergeCell ref="E210:F210"/>
    <mergeCell ref="G210:H210"/>
    <mergeCell ref="I210:J210"/>
    <mergeCell ref="K210:M210"/>
    <mergeCell ref="C211:D211"/>
    <mergeCell ref="E211:F211"/>
    <mergeCell ref="G211:H211"/>
    <mergeCell ref="I211:J211"/>
    <mergeCell ref="K211:M211"/>
    <mergeCell ref="B205:M205"/>
    <mergeCell ref="C206:D206"/>
    <mergeCell ref="E206:F206"/>
    <mergeCell ref="G206:H206"/>
    <mergeCell ref="I206:J206"/>
    <mergeCell ref="K206:M206"/>
    <mergeCell ref="C207:D207"/>
    <mergeCell ref="E207:F207"/>
    <mergeCell ref="G207:H207"/>
    <mergeCell ref="I207:J207"/>
    <mergeCell ref="K207:M207"/>
    <mergeCell ref="C157:D157"/>
    <mergeCell ref="C167:M167"/>
    <mergeCell ref="E168:F168"/>
    <mergeCell ref="C170:D170"/>
    <mergeCell ref="E170:I170"/>
    <mergeCell ref="C172:D172"/>
    <mergeCell ref="C174:D174"/>
    <mergeCell ref="C175:D175"/>
    <mergeCell ref="C143:D143"/>
    <mergeCell ref="C146:M146"/>
    <mergeCell ref="E147:F147"/>
    <mergeCell ref="C149:D149"/>
    <mergeCell ref="E149:I149"/>
    <mergeCell ref="C151:D151"/>
    <mergeCell ref="C153:D153"/>
    <mergeCell ref="C154:D154"/>
    <mergeCell ref="C155:D155"/>
    <mergeCell ref="B163:M163"/>
    <mergeCell ref="C164:D164"/>
    <mergeCell ref="E164:F164"/>
    <mergeCell ref="G164:H164"/>
    <mergeCell ref="I164:J164"/>
    <mergeCell ref="K164:M164"/>
    <mergeCell ref="C165:D165"/>
    <mergeCell ref="C130:M130"/>
    <mergeCell ref="E131:F131"/>
    <mergeCell ref="C133:D133"/>
    <mergeCell ref="E133:I133"/>
    <mergeCell ref="C135:D135"/>
    <mergeCell ref="C137:D137"/>
    <mergeCell ref="C138:D138"/>
    <mergeCell ref="C139:D139"/>
    <mergeCell ref="C141:D141"/>
    <mergeCell ref="C117:D117"/>
    <mergeCell ref="E117:I117"/>
    <mergeCell ref="C119:D119"/>
    <mergeCell ref="C121:D121"/>
    <mergeCell ref="C122:D122"/>
    <mergeCell ref="C123:D123"/>
    <mergeCell ref="C125:D125"/>
    <mergeCell ref="C127:D127"/>
    <mergeCell ref="C101:D101"/>
    <mergeCell ref="C103:D103"/>
    <mergeCell ref="C104:D104"/>
    <mergeCell ref="C105:D105"/>
    <mergeCell ref="C107:D107"/>
    <mergeCell ref="C109:D109"/>
    <mergeCell ref="C111:D111"/>
    <mergeCell ref="C114:M114"/>
    <mergeCell ref="E115:F115"/>
    <mergeCell ref="E97:F97"/>
    <mergeCell ref="C82:M82"/>
    <mergeCell ref="C96:M96"/>
    <mergeCell ref="C99:D99"/>
    <mergeCell ref="E99:I99"/>
    <mergeCell ref="E83:F83"/>
    <mergeCell ref="C85:D85"/>
    <mergeCell ref="E85:I85"/>
    <mergeCell ref="C87:D87"/>
    <mergeCell ref="C89:D89"/>
    <mergeCell ref="C90:D90"/>
    <mergeCell ref="C91:D91"/>
    <mergeCell ref="C93:D93"/>
    <mergeCell ref="E76:F76"/>
    <mergeCell ref="E77:F77"/>
    <mergeCell ref="E79:F79"/>
    <mergeCell ref="I67:M67"/>
    <mergeCell ref="C79:D79"/>
    <mergeCell ref="C80:D80"/>
    <mergeCell ref="E67:F67"/>
    <mergeCell ref="G67:H67"/>
    <mergeCell ref="G69:H69"/>
    <mergeCell ref="G71:H71"/>
    <mergeCell ref="G73:H73"/>
    <mergeCell ref="G75:H75"/>
    <mergeCell ref="G76:H76"/>
    <mergeCell ref="G77:H77"/>
    <mergeCell ref="G79:H79"/>
    <mergeCell ref="C76:D76"/>
    <mergeCell ref="E69:F69"/>
    <mergeCell ref="E71:F71"/>
    <mergeCell ref="E73:F73"/>
    <mergeCell ref="E75:F75"/>
    <mergeCell ref="C71:D71"/>
    <mergeCell ref="C73:D73"/>
    <mergeCell ref="C75:D75"/>
    <mergeCell ref="C77:D77"/>
    <mergeCell ref="C64:K64"/>
    <mergeCell ref="E65:F65"/>
    <mergeCell ref="C67:D67"/>
    <mergeCell ref="C69:D69"/>
    <mergeCell ref="C58:D58"/>
    <mergeCell ref="E58:F58"/>
    <mergeCell ref="G58:H58"/>
    <mergeCell ref="I58:J58"/>
    <mergeCell ref="K58:M58"/>
    <mergeCell ref="B60:M60"/>
    <mergeCell ref="C61:D61"/>
    <mergeCell ref="E61:F61"/>
    <mergeCell ref="G61:H61"/>
    <mergeCell ref="I61:J61"/>
    <mergeCell ref="K61:M61"/>
    <mergeCell ref="C62:D62"/>
    <mergeCell ref="E62:F62"/>
    <mergeCell ref="G62:H62"/>
    <mergeCell ref="I62:J62"/>
    <mergeCell ref="K62:M62"/>
    <mergeCell ref="C63:D63"/>
    <mergeCell ref="E63:F63"/>
    <mergeCell ref="G63:H63"/>
    <mergeCell ref="I63:J63"/>
    <mergeCell ref="B56:M56"/>
    <mergeCell ref="E57:F57"/>
    <mergeCell ref="G57:H57"/>
    <mergeCell ref="I57:J57"/>
    <mergeCell ref="K57:M57"/>
    <mergeCell ref="C57:D57"/>
    <mergeCell ref="E44:F44"/>
    <mergeCell ref="G44:H44"/>
    <mergeCell ref="I44:M44"/>
    <mergeCell ref="E46:F46"/>
    <mergeCell ref="E48:F48"/>
    <mergeCell ref="E49:F49"/>
    <mergeCell ref="E50:F50"/>
    <mergeCell ref="E52:F52"/>
    <mergeCell ref="E54:F54"/>
    <mergeCell ref="G46:H46"/>
    <mergeCell ref="G48:H48"/>
    <mergeCell ref="G49:H49"/>
    <mergeCell ref="G50:H50"/>
    <mergeCell ref="G52:H52"/>
    <mergeCell ref="C48:D48"/>
    <mergeCell ref="C49:D49"/>
    <mergeCell ref="C50:D50"/>
    <mergeCell ref="C52:D52"/>
    <mergeCell ref="C38:D38"/>
    <mergeCell ref="E38:F38"/>
    <mergeCell ref="G38:H38"/>
    <mergeCell ref="I38:J38"/>
    <mergeCell ref="K38:M38"/>
    <mergeCell ref="C31:D31"/>
    <mergeCell ref="C54:D54"/>
    <mergeCell ref="C41:K41"/>
    <mergeCell ref="E42:F42"/>
    <mergeCell ref="C44:D44"/>
    <mergeCell ref="C46:D46"/>
    <mergeCell ref="C39:D39"/>
    <mergeCell ref="E39:F39"/>
    <mergeCell ref="G39:H39"/>
    <mergeCell ref="I39:J39"/>
    <mergeCell ref="K39:M39"/>
    <mergeCell ref="G54:H54"/>
    <mergeCell ref="I19:J19"/>
    <mergeCell ref="C25:D25"/>
    <mergeCell ref="E25:I25"/>
    <mergeCell ref="C27:D27"/>
    <mergeCell ref="C29:D29"/>
    <mergeCell ref="C30:D30"/>
    <mergeCell ref="C33:D33"/>
    <mergeCell ref="C35:D35"/>
    <mergeCell ref="B37:M37"/>
    <mergeCell ref="C1:K1"/>
    <mergeCell ref="C4:D4"/>
    <mergeCell ref="E4:I4"/>
    <mergeCell ref="C6:D6"/>
    <mergeCell ref="C8:D8"/>
    <mergeCell ref="E2:F2"/>
    <mergeCell ref="B18:M18"/>
    <mergeCell ref="C22:K22"/>
    <mergeCell ref="E23:F23"/>
    <mergeCell ref="C9:D9"/>
    <mergeCell ref="C10:D10"/>
    <mergeCell ref="C12:D12"/>
    <mergeCell ref="C14:D14"/>
    <mergeCell ref="C16:D16"/>
    <mergeCell ref="C17:D17"/>
    <mergeCell ref="K19:M19"/>
    <mergeCell ref="C20:D20"/>
    <mergeCell ref="E20:F20"/>
    <mergeCell ref="G20:H20"/>
    <mergeCell ref="I20:J20"/>
    <mergeCell ref="K20:M20"/>
    <mergeCell ref="C19:D19"/>
    <mergeCell ref="E19:F19"/>
    <mergeCell ref="G19:H19"/>
    <mergeCell ref="E165:F165"/>
    <mergeCell ref="G165:H165"/>
    <mergeCell ref="I165:J165"/>
    <mergeCell ref="K165:M165"/>
    <mergeCell ref="C166:D166"/>
    <mergeCell ref="E166:F166"/>
    <mergeCell ref="G166:H166"/>
    <mergeCell ref="I166:J166"/>
    <mergeCell ref="K166:M166"/>
    <mergeCell ref="B159:M159"/>
    <mergeCell ref="C160:D160"/>
    <mergeCell ref="E160:F160"/>
    <mergeCell ref="G160:H160"/>
    <mergeCell ref="I160:J160"/>
    <mergeCell ref="K160:M160"/>
    <mergeCell ref="C161:D161"/>
    <mergeCell ref="E161:F161"/>
    <mergeCell ref="G161:H161"/>
    <mergeCell ref="I161:J161"/>
    <mergeCell ref="K161:M161"/>
  </mergeCells>
  <pageMargins left="0.25" right="0.25" top="0.25" bottom="0.25" header="0.3" footer="0.3"/>
  <pageSetup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80E6-F42E-4B3F-8C9D-618A8EB7ACA7}">
  <dimension ref="A1:M232"/>
  <sheetViews>
    <sheetView workbookViewId="0">
      <pane ySplit="1" topLeftCell="A95" activePane="bottomLeft" state="frozen"/>
      <selection pane="bottomLeft" activeCell="B63" sqref="B63"/>
    </sheetView>
  </sheetViews>
  <sheetFormatPr defaultRowHeight="15" x14ac:dyDescent="0.25"/>
  <cols>
    <col min="1" max="1" width="45.85546875" customWidth="1"/>
    <col min="2" max="2" width="37.28515625" customWidth="1"/>
    <col min="9" max="9" width="10.42578125" customWidth="1"/>
    <col min="10" max="10" width="3.5703125" customWidth="1"/>
    <col min="11" max="11" width="10.7109375" customWidth="1"/>
    <col min="13" max="13" width="19.7109375" customWidth="1"/>
  </cols>
  <sheetData>
    <row r="1" spans="1:13" x14ac:dyDescent="0.25">
      <c r="A1" s="101" t="s">
        <v>6349</v>
      </c>
      <c r="B1" s="101" t="s">
        <v>6350</v>
      </c>
    </row>
    <row r="2" spans="1:13" x14ac:dyDescent="0.25">
      <c r="F2" s="395" t="s">
        <v>6351</v>
      </c>
      <c r="G2" s="396"/>
      <c r="H2" s="396"/>
      <c r="I2" s="397"/>
      <c r="J2" s="125"/>
      <c r="K2" s="395" t="s">
        <v>6352</v>
      </c>
      <c r="L2" s="396"/>
      <c r="M2" s="397"/>
    </row>
    <row r="3" spans="1:13" x14ac:dyDescent="0.25">
      <c r="A3" t="s">
        <v>665</v>
      </c>
      <c r="B3" t="s">
        <v>6353</v>
      </c>
      <c r="F3" s="126" t="s">
        <v>6354</v>
      </c>
      <c r="G3" s="91"/>
      <c r="H3" s="91"/>
      <c r="I3" s="127"/>
      <c r="K3" s="126" t="s">
        <v>6355</v>
      </c>
      <c r="L3" s="91"/>
      <c r="M3" s="127" t="s">
        <v>6356</v>
      </c>
    </row>
    <row r="4" spans="1:13" x14ac:dyDescent="0.25">
      <c r="A4" t="s">
        <v>665</v>
      </c>
      <c r="B4" t="s">
        <v>6357</v>
      </c>
      <c r="F4" s="126" t="s">
        <v>6358</v>
      </c>
      <c r="G4" s="91"/>
      <c r="H4" s="91"/>
      <c r="I4" s="127"/>
      <c r="K4" s="126" t="s">
        <v>6359</v>
      </c>
      <c r="L4" s="91"/>
      <c r="M4" s="127" t="s">
        <v>6360</v>
      </c>
    </row>
    <row r="5" spans="1:13" x14ac:dyDescent="0.25">
      <c r="A5" t="s">
        <v>6361</v>
      </c>
      <c r="B5" t="s">
        <v>6362</v>
      </c>
      <c r="F5" s="126" t="s">
        <v>6363</v>
      </c>
      <c r="G5" s="91"/>
      <c r="H5" s="91"/>
      <c r="I5" s="127"/>
      <c r="K5" s="126" t="s">
        <v>6364</v>
      </c>
      <c r="L5" s="91"/>
      <c r="M5" s="127" t="s">
        <v>6365</v>
      </c>
    </row>
    <row r="6" spans="1:13" x14ac:dyDescent="0.25">
      <c r="A6" t="s">
        <v>6361</v>
      </c>
      <c r="B6" t="s">
        <v>6366</v>
      </c>
      <c r="F6" s="126" t="s">
        <v>6367</v>
      </c>
      <c r="G6" s="91"/>
      <c r="H6" s="91"/>
      <c r="I6" s="127"/>
      <c r="K6" s="126" t="s">
        <v>6368</v>
      </c>
      <c r="L6" s="91"/>
      <c r="M6" s="127"/>
    </row>
    <row r="7" spans="1:13" x14ac:dyDescent="0.25">
      <c r="A7" t="s">
        <v>3836</v>
      </c>
      <c r="B7" t="s">
        <v>6369</v>
      </c>
      <c r="F7" s="126" t="s">
        <v>6370</v>
      </c>
      <c r="G7" s="91"/>
      <c r="H7" s="91"/>
      <c r="I7" s="127"/>
      <c r="K7" s="126"/>
      <c r="L7" s="91" t="s">
        <v>6371</v>
      </c>
      <c r="M7" s="127" t="s">
        <v>6372</v>
      </c>
    </row>
    <row r="8" spans="1:13" x14ac:dyDescent="0.25">
      <c r="A8" t="s">
        <v>5444</v>
      </c>
      <c r="B8" t="s">
        <v>6373</v>
      </c>
      <c r="F8" s="126" t="s">
        <v>6374</v>
      </c>
      <c r="G8" s="91"/>
      <c r="H8" s="91"/>
      <c r="I8" s="127"/>
      <c r="K8" s="126" t="s">
        <v>3949</v>
      </c>
      <c r="L8" s="91"/>
      <c r="M8" s="127" t="s">
        <v>6375</v>
      </c>
    </row>
    <row r="9" spans="1:13" x14ac:dyDescent="0.25">
      <c r="A9" t="s">
        <v>2071</v>
      </c>
      <c r="B9" t="s">
        <v>6376</v>
      </c>
      <c r="F9" s="126" t="s">
        <v>6377</v>
      </c>
      <c r="G9" s="91"/>
      <c r="H9" s="91"/>
      <c r="I9" s="127"/>
      <c r="K9" s="128" t="s">
        <v>6378</v>
      </c>
      <c r="L9" s="129"/>
      <c r="M9" s="130" t="s">
        <v>6379</v>
      </c>
    </row>
    <row r="10" spans="1:13" x14ac:dyDescent="0.25">
      <c r="A10" t="s">
        <v>6380</v>
      </c>
      <c r="B10" t="s">
        <v>6381</v>
      </c>
      <c r="F10" s="126" t="s">
        <v>6382</v>
      </c>
      <c r="G10" s="91"/>
      <c r="H10" s="91"/>
      <c r="I10" s="127"/>
    </row>
    <row r="11" spans="1:13" x14ac:dyDescent="0.25">
      <c r="A11" t="s">
        <v>1840</v>
      </c>
      <c r="B11" t="s">
        <v>6383</v>
      </c>
      <c r="F11" s="126" t="s">
        <v>6384</v>
      </c>
      <c r="G11" s="91"/>
      <c r="H11" s="91"/>
      <c r="I11" s="127"/>
    </row>
    <row r="12" spans="1:13" x14ac:dyDescent="0.25">
      <c r="A12" t="s">
        <v>3906</v>
      </c>
      <c r="B12" t="s">
        <v>6385</v>
      </c>
      <c r="F12" s="126" t="s">
        <v>6386</v>
      </c>
      <c r="G12" s="91"/>
      <c r="H12" s="91"/>
      <c r="I12" s="127"/>
      <c r="K12" s="395" t="s">
        <v>6387</v>
      </c>
      <c r="L12" s="396"/>
      <c r="M12" s="397"/>
    </row>
    <row r="13" spans="1:13" x14ac:dyDescent="0.25">
      <c r="A13" t="s">
        <v>6388</v>
      </c>
      <c r="B13" t="s">
        <v>6389</v>
      </c>
      <c r="F13" s="126" t="s">
        <v>2942</v>
      </c>
      <c r="G13" s="91"/>
      <c r="H13" s="91"/>
      <c r="I13" s="127"/>
      <c r="K13" s="126"/>
      <c r="L13" s="91"/>
      <c r="M13" s="127"/>
    </row>
    <row r="14" spans="1:13" x14ac:dyDescent="0.25">
      <c r="A14" t="s">
        <v>6390</v>
      </c>
      <c r="B14" t="s">
        <v>6391</v>
      </c>
      <c r="F14" s="126" t="s">
        <v>6392</v>
      </c>
      <c r="G14" s="91"/>
      <c r="H14" s="91"/>
      <c r="I14" s="127"/>
      <c r="K14" s="126" t="s">
        <v>6393</v>
      </c>
      <c r="L14" s="91"/>
      <c r="M14" s="127"/>
    </row>
    <row r="15" spans="1:13" x14ac:dyDescent="0.25">
      <c r="A15" t="s">
        <v>6394</v>
      </c>
      <c r="B15" t="s">
        <v>6395</v>
      </c>
      <c r="F15" s="126" t="s">
        <v>6396</v>
      </c>
      <c r="G15" s="91"/>
      <c r="H15" s="91"/>
      <c r="I15" s="127"/>
      <c r="K15" s="126" t="s">
        <v>6397</v>
      </c>
      <c r="L15" s="91"/>
      <c r="M15" s="127"/>
    </row>
    <row r="16" spans="1:13" x14ac:dyDescent="0.25">
      <c r="A16" t="s">
        <v>6398</v>
      </c>
      <c r="B16" t="s">
        <v>6399</v>
      </c>
      <c r="F16" s="126" t="s">
        <v>6400</v>
      </c>
      <c r="G16" s="91"/>
      <c r="H16" s="91"/>
      <c r="I16" s="127"/>
      <c r="K16" s="126" t="s">
        <v>6401</v>
      </c>
      <c r="L16" s="91"/>
      <c r="M16" s="127"/>
    </row>
    <row r="17" spans="1:13" x14ac:dyDescent="0.25">
      <c r="A17" t="s">
        <v>6398</v>
      </c>
      <c r="B17" t="s">
        <v>6402</v>
      </c>
      <c r="F17" s="126" t="s">
        <v>1665</v>
      </c>
      <c r="G17" s="91"/>
      <c r="H17" s="91"/>
      <c r="I17" s="127"/>
      <c r="K17" s="126" t="s">
        <v>6403</v>
      </c>
      <c r="L17" s="91"/>
      <c r="M17" s="127"/>
    </row>
    <row r="18" spans="1:13" x14ac:dyDescent="0.25">
      <c r="A18" t="s">
        <v>6404</v>
      </c>
      <c r="B18" t="s">
        <v>6405</v>
      </c>
      <c r="F18" s="126" t="s">
        <v>6406</v>
      </c>
      <c r="G18" s="91"/>
      <c r="H18" s="91"/>
      <c r="I18" s="127"/>
      <c r="K18" s="126" t="s">
        <v>6407</v>
      </c>
      <c r="L18" s="91"/>
      <c r="M18" s="127"/>
    </row>
    <row r="19" spans="1:13" x14ac:dyDescent="0.25">
      <c r="A19" t="s">
        <v>6408</v>
      </c>
      <c r="B19" t="s">
        <v>6409</v>
      </c>
      <c r="F19" s="126" t="s">
        <v>6410</v>
      </c>
      <c r="G19" s="91"/>
      <c r="H19" s="91"/>
      <c r="I19" s="127"/>
      <c r="K19" s="126" t="s">
        <v>6411</v>
      </c>
      <c r="L19" s="91"/>
      <c r="M19" s="127"/>
    </row>
    <row r="20" spans="1:13" x14ac:dyDescent="0.25">
      <c r="A20" t="s">
        <v>6412</v>
      </c>
      <c r="B20" t="s">
        <v>6413</v>
      </c>
      <c r="F20" s="128" t="s">
        <v>6414</v>
      </c>
      <c r="G20" s="129"/>
      <c r="H20" s="129"/>
      <c r="I20" s="130"/>
      <c r="K20" s="128" t="s">
        <v>6415</v>
      </c>
      <c r="L20" s="129"/>
      <c r="M20" s="130"/>
    </row>
    <row r="21" spans="1:13" x14ac:dyDescent="0.25">
      <c r="A21" t="s">
        <v>6416</v>
      </c>
      <c r="B21" t="s">
        <v>6417</v>
      </c>
    </row>
    <row r="22" spans="1:13" x14ac:dyDescent="0.25">
      <c r="A22" t="s">
        <v>6418</v>
      </c>
      <c r="B22" t="s">
        <v>6419</v>
      </c>
    </row>
    <row r="23" spans="1:13" x14ac:dyDescent="0.25">
      <c r="A23" t="s">
        <v>6418</v>
      </c>
      <c r="B23" t="s">
        <v>6420</v>
      </c>
    </row>
    <row r="24" spans="1:13" x14ac:dyDescent="0.25">
      <c r="A24" t="s">
        <v>6421</v>
      </c>
      <c r="B24" t="s">
        <v>6422</v>
      </c>
    </row>
    <row r="25" spans="1:13" x14ac:dyDescent="0.25">
      <c r="A25" t="s">
        <v>965</v>
      </c>
      <c r="B25" t="s">
        <v>6423</v>
      </c>
      <c r="F25" s="395" t="s">
        <v>6424</v>
      </c>
      <c r="G25" s="396"/>
      <c r="H25" s="396"/>
      <c r="I25" s="396"/>
      <c r="J25" s="396"/>
      <c r="K25" s="396"/>
      <c r="L25" s="396"/>
      <c r="M25" s="397"/>
    </row>
    <row r="26" spans="1:13" x14ac:dyDescent="0.25">
      <c r="A26" t="s">
        <v>1046</v>
      </c>
      <c r="B26" t="s">
        <v>6425</v>
      </c>
      <c r="F26" s="126"/>
      <c r="G26" s="91"/>
      <c r="H26" s="91"/>
      <c r="I26" s="91"/>
      <c r="J26" s="91"/>
      <c r="K26" s="91"/>
      <c r="L26" s="91"/>
      <c r="M26" s="127"/>
    </row>
    <row r="27" spans="1:13" x14ac:dyDescent="0.25">
      <c r="A27" t="s">
        <v>6426</v>
      </c>
      <c r="B27" t="s">
        <v>6427</v>
      </c>
      <c r="F27" s="131" t="s">
        <v>407</v>
      </c>
      <c r="G27" s="91"/>
      <c r="H27" s="132" t="s">
        <v>404</v>
      </c>
      <c r="I27" s="91"/>
      <c r="J27" s="91"/>
      <c r="K27" s="132" t="s">
        <v>1241</v>
      </c>
      <c r="L27" s="91"/>
      <c r="M27" s="133" t="s">
        <v>1766</v>
      </c>
    </row>
    <row r="28" spans="1:13" x14ac:dyDescent="0.25">
      <c r="A28" t="s">
        <v>4776</v>
      </c>
      <c r="B28" t="s">
        <v>6428</v>
      </c>
      <c r="F28" s="126" t="s">
        <v>4464</v>
      </c>
      <c r="G28" s="91"/>
      <c r="H28" s="91" t="s">
        <v>3441</v>
      </c>
      <c r="I28" s="91"/>
      <c r="J28" s="91"/>
      <c r="K28" s="91" t="s">
        <v>6429</v>
      </c>
      <c r="L28" s="91"/>
      <c r="M28" s="127" t="s">
        <v>6430</v>
      </c>
    </row>
    <row r="29" spans="1:13" x14ac:dyDescent="0.25">
      <c r="A29" t="s">
        <v>5002</v>
      </c>
      <c r="B29" t="s">
        <v>6405</v>
      </c>
      <c r="F29" s="126" t="s">
        <v>1639</v>
      </c>
      <c r="G29" s="91"/>
      <c r="H29" s="91" t="s">
        <v>1207</v>
      </c>
      <c r="I29" s="91"/>
      <c r="J29" s="91"/>
      <c r="K29" s="91" t="s">
        <v>1913</v>
      </c>
      <c r="L29" s="91"/>
      <c r="M29" s="127" t="s">
        <v>6431</v>
      </c>
    </row>
    <row r="30" spans="1:13" x14ac:dyDescent="0.25">
      <c r="A30" t="s">
        <v>1048</v>
      </c>
      <c r="B30" t="s">
        <v>6432</v>
      </c>
      <c r="F30" s="126" t="s">
        <v>3749</v>
      </c>
      <c r="G30" s="91"/>
      <c r="H30" s="91" t="s">
        <v>6433</v>
      </c>
      <c r="I30" s="91"/>
      <c r="J30" s="91"/>
      <c r="K30" s="91" t="s">
        <v>3853</v>
      </c>
      <c r="L30" s="91"/>
      <c r="M30" s="127" t="s">
        <v>6434</v>
      </c>
    </row>
    <row r="31" spans="1:13" x14ac:dyDescent="0.25">
      <c r="A31" t="s">
        <v>848</v>
      </c>
      <c r="B31" t="s">
        <v>6435</v>
      </c>
      <c r="F31" s="126" t="s">
        <v>6436</v>
      </c>
      <c r="G31" s="91"/>
      <c r="H31" s="91" t="s">
        <v>4509</v>
      </c>
      <c r="I31" s="91"/>
      <c r="J31" s="91"/>
      <c r="K31" s="91" t="s">
        <v>4776</v>
      </c>
      <c r="L31" s="91"/>
      <c r="M31" s="127"/>
    </row>
    <row r="32" spans="1:13" x14ac:dyDescent="0.25">
      <c r="A32" t="s">
        <v>5607</v>
      </c>
      <c r="B32" t="s">
        <v>6437</v>
      </c>
      <c r="F32" s="126" t="s">
        <v>6438</v>
      </c>
      <c r="G32" s="91"/>
      <c r="H32" s="91" t="s">
        <v>1233</v>
      </c>
      <c r="I32" s="91"/>
      <c r="J32" s="91"/>
      <c r="K32" s="91"/>
      <c r="L32" s="91"/>
      <c r="M32" s="127"/>
    </row>
    <row r="33" spans="1:13" x14ac:dyDescent="0.25">
      <c r="A33" t="s">
        <v>6439</v>
      </c>
      <c r="B33" t="s">
        <v>6440</v>
      </c>
      <c r="F33" s="126" t="s">
        <v>6441</v>
      </c>
      <c r="G33" s="91"/>
      <c r="H33" s="91" t="s">
        <v>4974</v>
      </c>
      <c r="I33" s="91"/>
      <c r="J33" s="91"/>
      <c r="K33" s="91"/>
      <c r="L33" s="91"/>
      <c r="M33" s="127"/>
    </row>
    <row r="34" spans="1:13" x14ac:dyDescent="0.25">
      <c r="A34" t="s">
        <v>6439</v>
      </c>
      <c r="B34" t="s">
        <v>6442</v>
      </c>
      <c r="F34" s="126" t="s">
        <v>6443</v>
      </c>
      <c r="G34" s="91"/>
      <c r="H34" s="91" t="s">
        <v>6444</v>
      </c>
      <c r="I34" s="91"/>
      <c r="J34" s="91"/>
      <c r="K34" s="91"/>
      <c r="L34" s="91"/>
      <c r="M34" s="127"/>
    </row>
    <row r="35" spans="1:13" x14ac:dyDescent="0.25">
      <c r="A35" t="s">
        <v>6445</v>
      </c>
      <c r="B35" t="s">
        <v>6446</v>
      </c>
      <c r="F35" s="126" t="s">
        <v>6447</v>
      </c>
      <c r="G35" s="91"/>
      <c r="H35" s="91" t="s">
        <v>6448</v>
      </c>
      <c r="I35" s="91"/>
      <c r="J35" s="91"/>
      <c r="K35" s="91"/>
      <c r="L35" s="91"/>
      <c r="M35" s="127"/>
    </row>
    <row r="36" spans="1:13" x14ac:dyDescent="0.25">
      <c r="A36" t="s">
        <v>1305</v>
      </c>
      <c r="B36" t="s">
        <v>6449</v>
      </c>
      <c r="F36" s="126" t="s">
        <v>6450</v>
      </c>
      <c r="G36" s="91"/>
      <c r="H36" s="91"/>
      <c r="I36" s="91"/>
      <c r="J36" s="91"/>
      <c r="K36" s="91"/>
      <c r="L36" s="91"/>
      <c r="M36" s="127"/>
    </row>
    <row r="37" spans="1:13" x14ac:dyDescent="0.25">
      <c r="A37" t="s">
        <v>6451</v>
      </c>
      <c r="B37" t="s">
        <v>6452</v>
      </c>
      <c r="F37" s="126" t="s">
        <v>6453</v>
      </c>
      <c r="G37" s="91"/>
      <c r="H37" s="91"/>
      <c r="I37" s="91"/>
      <c r="J37" s="132" t="s">
        <v>6454</v>
      </c>
      <c r="K37" s="91"/>
      <c r="L37" s="91"/>
      <c r="M37" s="127"/>
    </row>
    <row r="38" spans="1:13" x14ac:dyDescent="0.25">
      <c r="A38" t="s">
        <v>4770</v>
      </c>
      <c r="B38" t="s">
        <v>6455</v>
      </c>
      <c r="F38" s="126" t="s">
        <v>6456</v>
      </c>
      <c r="G38" s="91"/>
      <c r="H38" s="91"/>
      <c r="I38" s="91"/>
      <c r="J38" s="91" t="s">
        <v>6457</v>
      </c>
      <c r="K38" s="91"/>
      <c r="L38" s="91"/>
      <c r="M38" s="127"/>
    </row>
    <row r="39" spans="1:13" x14ac:dyDescent="0.25">
      <c r="A39" t="s">
        <v>4770</v>
      </c>
      <c r="B39" t="s">
        <v>6458</v>
      </c>
      <c r="F39" s="126" t="s">
        <v>4770</v>
      </c>
      <c r="G39" s="91"/>
      <c r="H39" s="91"/>
      <c r="I39" s="91"/>
      <c r="J39" s="91"/>
      <c r="K39" s="91"/>
      <c r="L39" s="91"/>
      <c r="M39" s="127"/>
    </row>
    <row r="40" spans="1:13" x14ac:dyDescent="0.25">
      <c r="A40" t="s">
        <v>2122</v>
      </c>
      <c r="B40" t="s">
        <v>6459</v>
      </c>
      <c r="F40" s="126" t="s">
        <v>6460</v>
      </c>
      <c r="G40" s="91"/>
      <c r="H40" s="91"/>
      <c r="I40" s="91"/>
      <c r="J40" s="91"/>
      <c r="K40" s="91"/>
      <c r="L40" s="91"/>
      <c r="M40" s="127"/>
    </row>
    <row r="41" spans="1:13" x14ac:dyDescent="0.25">
      <c r="A41" t="s">
        <v>4464</v>
      </c>
      <c r="B41" t="s">
        <v>6461</v>
      </c>
      <c r="F41" s="128" t="s">
        <v>6462</v>
      </c>
      <c r="G41" s="129"/>
      <c r="H41" s="129"/>
      <c r="I41" s="129"/>
      <c r="J41" s="129"/>
      <c r="K41" s="129"/>
      <c r="L41" s="129"/>
      <c r="M41" s="130"/>
    </row>
    <row r="42" spans="1:13" x14ac:dyDescent="0.25">
      <c r="A42" t="s">
        <v>4464</v>
      </c>
      <c r="B42" t="s">
        <v>6463</v>
      </c>
    </row>
    <row r="43" spans="1:13" x14ac:dyDescent="0.25">
      <c r="A43" t="s">
        <v>4464</v>
      </c>
      <c r="B43" t="s">
        <v>6413</v>
      </c>
    </row>
    <row r="44" spans="1:13" x14ac:dyDescent="0.25">
      <c r="A44" t="s">
        <v>6464</v>
      </c>
      <c r="B44" t="s">
        <v>6465</v>
      </c>
    </row>
    <row r="45" spans="1:13" x14ac:dyDescent="0.25">
      <c r="A45" t="s">
        <v>6466</v>
      </c>
      <c r="B45" t="s">
        <v>6467</v>
      </c>
    </row>
    <row r="46" spans="1:13" x14ac:dyDescent="0.25">
      <c r="A46" t="s">
        <v>6468</v>
      </c>
      <c r="B46" t="s">
        <v>6469</v>
      </c>
    </row>
    <row r="47" spans="1:13" x14ac:dyDescent="0.25">
      <c r="A47" t="s">
        <v>6470</v>
      </c>
      <c r="B47" t="s">
        <v>6471</v>
      </c>
    </row>
    <row r="48" spans="1:13" x14ac:dyDescent="0.25">
      <c r="A48" t="s">
        <v>6470</v>
      </c>
      <c r="B48" t="s">
        <v>6472</v>
      </c>
    </row>
    <row r="49" spans="1:2" x14ac:dyDescent="0.25">
      <c r="A49" t="s">
        <v>6470</v>
      </c>
      <c r="B49" t="s">
        <v>6473</v>
      </c>
    </row>
    <row r="50" spans="1:2" x14ac:dyDescent="0.25">
      <c r="A50" t="s">
        <v>6474</v>
      </c>
      <c r="B50" t="s">
        <v>6475</v>
      </c>
    </row>
    <row r="51" spans="1:2" x14ac:dyDescent="0.25">
      <c r="A51" t="s">
        <v>454</v>
      </c>
      <c r="B51" t="s">
        <v>6476</v>
      </c>
    </row>
    <row r="52" spans="1:2" x14ac:dyDescent="0.25">
      <c r="A52" t="s">
        <v>6477</v>
      </c>
      <c r="B52" t="s">
        <v>6478</v>
      </c>
    </row>
    <row r="53" spans="1:2" x14ac:dyDescent="0.25">
      <c r="A53" t="s">
        <v>6479</v>
      </c>
      <c r="B53" t="s">
        <v>6480</v>
      </c>
    </row>
    <row r="54" spans="1:2" x14ac:dyDescent="0.25">
      <c r="A54" t="s">
        <v>6481</v>
      </c>
      <c r="B54" t="s">
        <v>6482</v>
      </c>
    </row>
    <row r="55" spans="1:2" x14ac:dyDescent="0.25">
      <c r="A55" t="s">
        <v>6481</v>
      </c>
      <c r="B55" t="s">
        <v>6483</v>
      </c>
    </row>
    <row r="56" spans="1:2" x14ac:dyDescent="0.25">
      <c r="A56" t="s">
        <v>1913</v>
      </c>
      <c r="B56" t="s">
        <v>6484</v>
      </c>
    </row>
    <row r="57" spans="1:2" x14ac:dyDescent="0.25">
      <c r="A57" t="s">
        <v>6485</v>
      </c>
      <c r="B57" t="s">
        <v>6486</v>
      </c>
    </row>
    <row r="58" spans="1:2" x14ac:dyDescent="0.25">
      <c r="A58" t="s">
        <v>3833</v>
      </c>
      <c r="B58" t="s">
        <v>6487</v>
      </c>
    </row>
    <row r="59" spans="1:2" x14ac:dyDescent="0.25">
      <c r="A59" t="s">
        <v>6488</v>
      </c>
      <c r="B59" t="s">
        <v>6489</v>
      </c>
    </row>
    <row r="60" spans="1:2" x14ac:dyDescent="0.25">
      <c r="A60" t="s">
        <v>6490</v>
      </c>
      <c r="B60" t="s">
        <v>6491</v>
      </c>
    </row>
    <row r="61" spans="1:2" x14ac:dyDescent="0.25">
      <c r="A61" t="s">
        <v>6492</v>
      </c>
      <c r="B61" t="s">
        <v>6493</v>
      </c>
    </row>
    <row r="62" spans="1:2" x14ac:dyDescent="0.25">
      <c r="A62" t="s">
        <v>2117</v>
      </c>
      <c r="B62" t="s">
        <v>6494</v>
      </c>
    </row>
    <row r="63" spans="1:2" x14ac:dyDescent="0.25">
      <c r="A63" t="s">
        <v>6431</v>
      </c>
      <c r="B63" t="s">
        <v>6495</v>
      </c>
    </row>
    <row r="64" spans="1:2" x14ac:dyDescent="0.25">
      <c r="A64" t="s">
        <v>393</v>
      </c>
      <c r="B64" t="s">
        <v>6496</v>
      </c>
    </row>
    <row r="65" spans="1:2" x14ac:dyDescent="0.25">
      <c r="A65" t="s">
        <v>682</v>
      </c>
      <c r="B65" t="s">
        <v>6497</v>
      </c>
    </row>
    <row r="66" spans="1:2" x14ac:dyDescent="0.25">
      <c r="A66" t="s">
        <v>6498</v>
      </c>
      <c r="B66" t="s">
        <v>6499</v>
      </c>
    </row>
    <row r="67" spans="1:2" x14ac:dyDescent="0.25">
      <c r="A67" t="s">
        <v>3581</v>
      </c>
      <c r="B67" t="s">
        <v>6500</v>
      </c>
    </row>
    <row r="68" spans="1:2" x14ac:dyDescent="0.25">
      <c r="A68" t="s">
        <v>5078</v>
      </c>
      <c r="B68" t="s">
        <v>6501</v>
      </c>
    </row>
    <row r="69" spans="1:2" x14ac:dyDescent="0.25">
      <c r="A69" t="s">
        <v>5078</v>
      </c>
      <c r="B69" t="s">
        <v>6502</v>
      </c>
    </row>
    <row r="70" spans="1:2" x14ac:dyDescent="0.25">
      <c r="A70" t="s">
        <v>6462</v>
      </c>
      <c r="B70" t="s">
        <v>6503</v>
      </c>
    </row>
    <row r="71" spans="1:2" x14ac:dyDescent="0.25">
      <c r="A71" t="s">
        <v>6462</v>
      </c>
      <c r="B71" t="s">
        <v>6504</v>
      </c>
    </row>
    <row r="72" spans="1:2" x14ac:dyDescent="0.25">
      <c r="A72" t="s">
        <v>6462</v>
      </c>
      <c r="B72" t="s">
        <v>6505</v>
      </c>
    </row>
    <row r="73" spans="1:2" x14ac:dyDescent="0.25">
      <c r="A73" t="s">
        <v>457</v>
      </c>
      <c r="B73" t="s">
        <v>6369</v>
      </c>
    </row>
    <row r="74" spans="1:2" x14ac:dyDescent="0.25">
      <c r="A74" t="s">
        <v>6506</v>
      </c>
      <c r="B74" t="s">
        <v>6507</v>
      </c>
    </row>
    <row r="75" spans="1:2" x14ac:dyDescent="0.25">
      <c r="A75" t="s">
        <v>6506</v>
      </c>
      <c r="B75" t="s">
        <v>6508</v>
      </c>
    </row>
    <row r="76" spans="1:2" x14ac:dyDescent="0.25">
      <c r="A76" t="s">
        <v>6509</v>
      </c>
      <c r="B76" t="s">
        <v>6510</v>
      </c>
    </row>
    <row r="77" spans="1:2" x14ac:dyDescent="0.25">
      <c r="A77" t="s">
        <v>6511</v>
      </c>
      <c r="B77" t="s">
        <v>6512</v>
      </c>
    </row>
    <row r="78" spans="1:2" x14ac:dyDescent="0.25">
      <c r="A78" t="s">
        <v>6513</v>
      </c>
      <c r="B78" t="s">
        <v>6514</v>
      </c>
    </row>
    <row r="79" spans="1:2" x14ac:dyDescent="0.25">
      <c r="A79" t="s">
        <v>6515</v>
      </c>
      <c r="B79" t="s">
        <v>6413</v>
      </c>
    </row>
    <row r="80" spans="1:2" x14ac:dyDescent="0.25">
      <c r="A80" t="s">
        <v>6515</v>
      </c>
      <c r="B80" t="s">
        <v>6516</v>
      </c>
    </row>
    <row r="81" spans="1:2" x14ac:dyDescent="0.25">
      <c r="A81" t="s">
        <v>741</v>
      </c>
      <c r="B81" t="s">
        <v>6517</v>
      </c>
    </row>
    <row r="82" spans="1:2" x14ac:dyDescent="0.25">
      <c r="A82" t="s">
        <v>6157</v>
      </c>
      <c r="B82" t="s">
        <v>6518</v>
      </c>
    </row>
    <row r="83" spans="1:2" x14ac:dyDescent="0.25">
      <c r="A83" t="s">
        <v>6519</v>
      </c>
      <c r="B83" t="s">
        <v>6520</v>
      </c>
    </row>
    <row r="84" spans="1:2" x14ac:dyDescent="0.25">
      <c r="A84" t="s">
        <v>6521</v>
      </c>
      <c r="B84" t="s">
        <v>6522</v>
      </c>
    </row>
    <row r="85" spans="1:2" x14ac:dyDescent="0.25">
      <c r="A85" t="s">
        <v>6521</v>
      </c>
      <c r="B85" t="s">
        <v>6523</v>
      </c>
    </row>
    <row r="86" spans="1:2" x14ac:dyDescent="0.25">
      <c r="A86" t="s">
        <v>1952</v>
      </c>
      <c r="B86" t="s">
        <v>6524</v>
      </c>
    </row>
    <row r="87" spans="1:2" x14ac:dyDescent="0.25">
      <c r="A87" t="s">
        <v>4400</v>
      </c>
      <c r="B87" t="s">
        <v>6525</v>
      </c>
    </row>
    <row r="88" spans="1:2" x14ac:dyDescent="0.25">
      <c r="A88" t="s">
        <v>6526</v>
      </c>
      <c r="B88" t="s">
        <v>6527</v>
      </c>
    </row>
    <row r="89" spans="1:2" x14ac:dyDescent="0.25">
      <c r="A89" t="s">
        <v>381</v>
      </c>
      <c r="B89" t="s">
        <v>6369</v>
      </c>
    </row>
    <row r="90" spans="1:2" x14ac:dyDescent="0.25">
      <c r="A90" t="s">
        <v>889</v>
      </c>
      <c r="B90" t="s">
        <v>6528</v>
      </c>
    </row>
    <row r="91" spans="1:2" x14ac:dyDescent="0.25">
      <c r="A91" t="s">
        <v>4087</v>
      </c>
      <c r="B91" t="s">
        <v>6529</v>
      </c>
    </row>
    <row r="92" spans="1:2" x14ac:dyDescent="0.25">
      <c r="A92" t="s">
        <v>4087</v>
      </c>
      <c r="B92" t="s">
        <v>6530</v>
      </c>
    </row>
    <row r="93" spans="1:2" x14ac:dyDescent="0.25">
      <c r="A93" t="s">
        <v>6531</v>
      </c>
      <c r="B93" t="s">
        <v>6532</v>
      </c>
    </row>
    <row r="94" spans="1:2" x14ac:dyDescent="0.25">
      <c r="A94" t="s">
        <v>6533</v>
      </c>
      <c r="B94" t="s">
        <v>6534</v>
      </c>
    </row>
    <row r="95" spans="1:2" x14ac:dyDescent="0.25">
      <c r="A95" t="s">
        <v>6443</v>
      </c>
      <c r="B95" t="s">
        <v>6535</v>
      </c>
    </row>
    <row r="96" spans="1:2" x14ac:dyDescent="0.25">
      <c r="A96" t="s">
        <v>6536</v>
      </c>
      <c r="B96" t="s">
        <v>6537</v>
      </c>
    </row>
    <row r="97" spans="1:2" x14ac:dyDescent="0.25">
      <c r="A97" t="s">
        <v>1710</v>
      </c>
      <c r="B97" t="s">
        <v>6538</v>
      </c>
    </row>
    <row r="98" spans="1:2" x14ac:dyDescent="0.25">
      <c r="A98" t="s">
        <v>2066</v>
      </c>
      <c r="B98" t="s">
        <v>6539</v>
      </c>
    </row>
    <row r="99" spans="1:2" x14ac:dyDescent="0.25">
      <c r="A99" t="s">
        <v>1468</v>
      </c>
      <c r="B99" t="s">
        <v>6540</v>
      </c>
    </row>
    <row r="100" spans="1:2" x14ac:dyDescent="0.25">
      <c r="A100" t="s">
        <v>6541</v>
      </c>
      <c r="B100" t="s">
        <v>6542</v>
      </c>
    </row>
    <row r="101" spans="1:2" x14ac:dyDescent="0.25">
      <c r="A101" t="s">
        <v>6541</v>
      </c>
      <c r="B101" t="s">
        <v>6543</v>
      </c>
    </row>
    <row r="102" spans="1:2" x14ac:dyDescent="0.25">
      <c r="A102" t="s">
        <v>1035</v>
      </c>
      <c r="B102" t="s">
        <v>6544</v>
      </c>
    </row>
    <row r="103" spans="1:2" x14ac:dyDescent="0.25">
      <c r="A103" t="s">
        <v>548</v>
      </c>
      <c r="B103" t="s">
        <v>6545</v>
      </c>
    </row>
    <row r="104" spans="1:2" x14ac:dyDescent="0.25">
      <c r="A104" t="s">
        <v>548</v>
      </c>
      <c r="B104" t="s">
        <v>6546</v>
      </c>
    </row>
    <row r="105" spans="1:2" x14ac:dyDescent="0.25">
      <c r="A105" t="s">
        <v>6547</v>
      </c>
      <c r="B105" t="s">
        <v>6548</v>
      </c>
    </row>
    <row r="106" spans="1:2" x14ac:dyDescent="0.25">
      <c r="A106" t="s">
        <v>6549</v>
      </c>
      <c r="B106" t="s">
        <v>6550</v>
      </c>
    </row>
    <row r="107" spans="1:2" x14ac:dyDescent="0.25">
      <c r="A107" t="s">
        <v>1122</v>
      </c>
      <c r="B107" t="s">
        <v>6469</v>
      </c>
    </row>
    <row r="108" spans="1:2" x14ac:dyDescent="0.25">
      <c r="A108" t="s">
        <v>1126</v>
      </c>
      <c r="B108" t="s">
        <v>6551</v>
      </c>
    </row>
    <row r="109" spans="1:2" x14ac:dyDescent="0.25">
      <c r="A109" t="s">
        <v>6552</v>
      </c>
      <c r="B109" t="s">
        <v>6553</v>
      </c>
    </row>
    <row r="110" spans="1:2" x14ac:dyDescent="0.25">
      <c r="A110" t="s">
        <v>1408</v>
      </c>
      <c r="B110" t="s">
        <v>6554</v>
      </c>
    </row>
    <row r="111" spans="1:2" x14ac:dyDescent="0.25">
      <c r="A111" t="s">
        <v>2505</v>
      </c>
      <c r="B111" t="s">
        <v>6555</v>
      </c>
    </row>
    <row r="112" spans="1:2" x14ac:dyDescent="0.25">
      <c r="A112" t="s">
        <v>3912</v>
      </c>
      <c r="B112" t="s">
        <v>6556</v>
      </c>
    </row>
    <row r="113" spans="1:2" x14ac:dyDescent="0.25">
      <c r="A113" t="s">
        <v>3912</v>
      </c>
      <c r="B113" t="s">
        <v>6557</v>
      </c>
    </row>
    <row r="114" spans="1:2" x14ac:dyDescent="0.25">
      <c r="A114" t="s">
        <v>3912</v>
      </c>
      <c r="B114" t="s">
        <v>6558</v>
      </c>
    </row>
    <row r="115" spans="1:2" x14ac:dyDescent="0.25">
      <c r="A115" t="s">
        <v>3912</v>
      </c>
      <c r="B115" t="s">
        <v>6559</v>
      </c>
    </row>
    <row r="116" spans="1:2" x14ac:dyDescent="0.25">
      <c r="A116" t="s">
        <v>3912</v>
      </c>
      <c r="B116" t="s">
        <v>6560</v>
      </c>
    </row>
    <row r="117" spans="1:2" x14ac:dyDescent="0.25">
      <c r="A117" t="s">
        <v>6561</v>
      </c>
      <c r="B117" t="s">
        <v>6562</v>
      </c>
    </row>
    <row r="118" spans="1:2" x14ac:dyDescent="0.25">
      <c r="A118" t="s">
        <v>5838</v>
      </c>
      <c r="B118" t="s">
        <v>6563</v>
      </c>
    </row>
    <row r="119" spans="1:2" x14ac:dyDescent="0.25">
      <c r="A119" t="s">
        <v>859</v>
      </c>
      <c r="B119" t="s">
        <v>6564</v>
      </c>
    </row>
    <row r="120" spans="1:2" x14ac:dyDescent="0.25">
      <c r="A120" t="s">
        <v>6565</v>
      </c>
      <c r="B120" t="s">
        <v>6566</v>
      </c>
    </row>
    <row r="121" spans="1:2" x14ac:dyDescent="0.25">
      <c r="A121" t="s">
        <v>6567</v>
      </c>
      <c r="B121" t="s">
        <v>6568</v>
      </c>
    </row>
    <row r="122" spans="1:2" x14ac:dyDescent="0.25">
      <c r="A122" t="s">
        <v>6569</v>
      </c>
      <c r="B122" t="s">
        <v>6538</v>
      </c>
    </row>
    <row r="123" spans="1:2" x14ac:dyDescent="0.25">
      <c r="A123" t="s">
        <v>6438</v>
      </c>
      <c r="B123" t="s">
        <v>6543</v>
      </c>
    </row>
    <row r="124" spans="1:2" x14ac:dyDescent="0.25">
      <c r="A124" t="s">
        <v>6438</v>
      </c>
      <c r="B124" t="s">
        <v>6570</v>
      </c>
    </row>
    <row r="125" spans="1:2" x14ac:dyDescent="0.25">
      <c r="A125" t="s">
        <v>6438</v>
      </c>
      <c r="B125" t="s">
        <v>6571</v>
      </c>
    </row>
    <row r="126" spans="1:2" x14ac:dyDescent="0.25">
      <c r="A126" t="s">
        <v>6117</v>
      </c>
      <c r="B126" t="s">
        <v>6572</v>
      </c>
    </row>
    <row r="127" spans="1:2" x14ac:dyDescent="0.25">
      <c r="A127" t="s">
        <v>6117</v>
      </c>
      <c r="B127" t="s">
        <v>6573</v>
      </c>
    </row>
    <row r="128" spans="1:2" x14ac:dyDescent="0.25">
      <c r="A128" t="s">
        <v>6117</v>
      </c>
      <c r="B128" t="s">
        <v>6574</v>
      </c>
    </row>
    <row r="129" spans="1:2" x14ac:dyDescent="0.25">
      <c r="A129" t="s">
        <v>6575</v>
      </c>
      <c r="B129" t="s">
        <v>6489</v>
      </c>
    </row>
    <row r="130" spans="1:2" x14ac:dyDescent="0.25">
      <c r="A130" t="s">
        <v>6576</v>
      </c>
      <c r="B130" t="s">
        <v>6577</v>
      </c>
    </row>
    <row r="131" spans="1:2" x14ac:dyDescent="0.25">
      <c r="A131" t="s">
        <v>3834</v>
      </c>
      <c r="B131" t="s">
        <v>6578</v>
      </c>
    </row>
    <row r="132" spans="1:2" x14ac:dyDescent="0.25">
      <c r="A132" t="s">
        <v>6579</v>
      </c>
      <c r="B132" t="s">
        <v>6580</v>
      </c>
    </row>
    <row r="133" spans="1:2" x14ac:dyDescent="0.25">
      <c r="A133" t="s">
        <v>6581</v>
      </c>
      <c r="B133" t="s">
        <v>6582</v>
      </c>
    </row>
    <row r="134" spans="1:2" x14ac:dyDescent="0.25">
      <c r="A134" t="s">
        <v>1458</v>
      </c>
      <c r="B134" t="s">
        <v>6583</v>
      </c>
    </row>
    <row r="135" spans="1:2" x14ac:dyDescent="0.25">
      <c r="A135" t="s">
        <v>1639</v>
      </c>
      <c r="B135" t="s">
        <v>6584</v>
      </c>
    </row>
    <row r="136" spans="1:2" x14ac:dyDescent="0.25">
      <c r="A136" t="s">
        <v>1639</v>
      </c>
      <c r="B136" t="s">
        <v>6585</v>
      </c>
    </row>
    <row r="137" spans="1:2" x14ac:dyDescent="0.25">
      <c r="A137" t="s">
        <v>1639</v>
      </c>
      <c r="B137" t="s">
        <v>6586</v>
      </c>
    </row>
    <row r="138" spans="1:2" x14ac:dyDescent="0.25">
      <c r="A138" t="s">
        <v>1639</v>
      </c>
      <c r="B138" t="s">
        <v>6587</v>
      </c>
    </row>
    <row r="139" spans="1:2" x14ac:dyDescent="0.25">
      <c r="A139" t="s">
        <v>1639</v>
      </c>
      <c r="B139" t="s">
        <v>6588</v>
      </c>
    </row>
    <row r="140" spans="1:2" x14ac:dyDescent="0.25">
      <c r="A140" t="s">
        <v>1639</v>
      </c>
      <c r="B140" t="s">
        <v>6589</v>
      </c>
    </row>
    <row r="141" spans="1:2" x14ac:dyDescent="0.25">
      <c r="A141" t="s">
        <v>1639</v>
      </c>
      <c r="B141" t="s">
        <v>6590</v>
      </c>
    </row>
    <row r="142" spans="1:2" x14ac:dyDescent="0.25">
      <c r="A142" t="s">
        <v>1639</v>
      </c>
      <c r="B142" t="s">
        <v>6591</v>
      </c>
    </row>
    <row r="143" spans="1:2" x14ac:dyDescent="0.25">
      <c r="A143" t="s">
        <v>1224</v>
      </c>
      <c r="B143" t="s">
        <v>6592</v>
      </c>
    </row>
    <row r="144" spans="1:2" x14ac:dyDescent="0.25">
      <c r="A144" t="s">
        <v>6593</v>
      </c>
      <c r="B144" t="s">
        <v>6594</v>
      </c>
    </row>
    <row r="145" spans="1:2" x14ac:dyDescent="0.25">
      <c r="A145" t="s">
        <v>1283</v>
      </c>
      <c r="B145" t="s">
        <v>6595</v>
      </c>
    </row>
    <row r="146" spans="1:2" x14ac:dyDescent="0.25">
      <c r="A146" t="s">
        <v>1396</v>
      </c>
      <c r="B146" t="s">
        <v>6596</v>
      </c>
    </row>
    <row r="147" spans="1:2" x14ac:dyDescent="0.25">
      <c r="A147" t="s">
        <v>6597</v>
      </c>
      <c r="B147" t="s">
        <v>6598</v>
      </c>
    </row>
    <row r="148" spans="1:2" x14ac:dyDescent="0.25">
      <c r="A148" t="s">
        <v>6599</v>
      </c>
      <c r="B148" t="s">
        <v>6600</v>
      </c>
    </row>
    <row r="149" spans="1:2" x14ac:dyDescent="0.25">
      <c r="A149" t="s">
        <v>6601</v>
      </c>
      <c r="B149" t="s">
        <v>6602</v>
      </c>
    </row>
    <row r="150" spans="1:2" x14ac:dyDescent="0.25">
      <c r="A150" t="s">
        <v>6603</v>
      </c>
      <c r="B150" t="s">
        <v>6604</v>
      </c>
    </row>
    <row r="151" spans="1:2" x14ac:dyDescent="0.25">
      <c r="A151" t="s">
        <v>6605</v>
      </c>
      <c r="B151" t="s">
        <v>6540</v>
      </c>
    </row>
    <row r="152" spans="1:2" x14ac:dyDescent="0.25">
      <c r="A152" t="s">
        <v>6606</v>
      </c>
      <c r="B152" t="s">
        <v>6607</v>
      </c>
    </row>
    <row r="153" spans="1:2" x14ac:dyDescent="0.25">
      <c r="A153" t="s">
        <v>3511</v>
      </c>
      <c r="B153" t="s">
        <v>6608</v>
      </c>
    </row>
    <row r="154" spans="1:2" x14ac:dyDescent="0.25">
      <c r="A154" t="s">
        <v>6609</v>
      </c>
      <c r="B154" t="s">
        <v>6610</v>
      </c>
    </row>
    <row r="155" spans="1:2" x14ac:dyDescent="0.25">
      <c r="A155" t="s">
        <v>6611</v>
      </c>
      <c r="B155" t="s">
        <v>6612</v>
      </c>
    </row>
    <row r="156" spans="1:2" x14ac:dyDescent="0.25">
      <c r="A156" t="s">
        <v>6613</v>
      </c>
      <c r="B156" t="s">
        <v>6614</v>
      </c>
    </row>
    <row r="157" spans="1:2" x14ac:dyDescent="0.25">
      <c r="A157" t="s">
        <v>6613</v>
      </c>
      <c r="B157" t="s">
        <v>6615</v>
      </c>
    </row>
    <row r="158" spans="1:2" x14ac:dyDescent="0.25">
      <c r="A158" t="s">
        <v>6616</v>
      </c>
      <c r="B158" t="s">
        <v>6564</v>
      </c>
    </row>
    <row r="159" spans="1:2" x14ac:dyDescent="0.25">
      <c r="A159" t="s">
        <v>6617</v>
      </c>
      <c r="B159" t="s">
        <v>6618</v>
      </c>
    </row>
    <row r="160" spans="1:2" x14ac:dyDescent="0.25">
      <c r="A160" t="s">
        <v>4371</v>
      </c>
      <c r="B160" t="s">
        <v>6543</v>
      </c>
    </row>
    <row r="161" spans="1:2" x14ac:dyDescent="0.25">
      <c r="A161" t="s">
        <v>5977</v>
      </c>
      <c r="B161" t="s">
        <v>6619</v>
      </c>
    </row>
    <row r="162" spans="1:2" x14ac:dyDescent="0.25">
      <c r="A162" t="s">
        <v>5977</v>
      </c>
      <c r="B162" t="s">
        <v>6620</v>
      </c>
    </row>
    <row r="163" spans="1:2" x14ac:dyDescent="0.25">
      <c r="A163" t="s">
        <v>6430</v>
      </c>
      <c r="B163" t="s">
        <v>6621</v>
      </c>
    </row>
    <row r="164" spans="1:2" x14ac:dyDescent="0.25">
      <c r="A164" t="s">
        <v>6430</v>
      </c>
      <c r="B164" t="s">
        <v>6622</v>
      </c>
    </row>
    <row r="165" spans="1:2" x14ac:dyDescent="0.25">
      <c r="A165" t="s">
        <v>6430</v>
      </c>
      <c r="B165" t="s">
        <v>6623</v>
      </c>
    </row>
    <row r="166" spans="1:2" x14ac:dyDescent="0.25">
      <c r="A166" t="s">
        <v>6624</v>
      </c>
      <c r="B166" t="s">
        <v>6625</v>
      </c>
    </row>
    <row r="167" spans="1:2" x14ac:dyDescent="0.25">
      <c r="A167" t="s">
        <v>6626</v>
      </c>
      <c r="B167" t="s">
        <v>6627</v>
      </c>
    </row>
    <row r="168" spans="1:2" x14ac:dyDescent="0.25">
      <c r="A168" t="s">
        <v>6626</v>
      </c>
      <c r="B168" t="s">
        <v>6628</v>
      </c>
    </row>
    <row r="169" spans="1:2" x14ac:dyDescent="0.25">
      <c r="A169" t="s">
        <v>6629</v>
      </c>
      <c r="B169" t="s">
        <v>6630</v>
      </c>
    </row>
    <row r="170" spans="1:2" x14ac:dyDescent="0.25">
      <c r="A170" t="s">
        <v>6629</v>
      </c>
      <c r="B170" t="s">
        <v>6631</v>
      </c>
    </row>
    <row r="171" spans="1:2" x14ac:dyDescent="0.25">
      <c r="A171" t="s">
        <v>5867</v>
      </c>
      <c r="B171" t="s">
        <v>6632</v>
      </c>
    </row>
    <row r="172" spans="1:2" x14ac:dyDescent="0.25">
      <c r="A172" t="s">
        <v>3632</v>
      </c>
      <c r="B172" t="s">
        <v>6633</v>
      </c>
    </row>
    <row r="173" spans="1:2" x14ac:dyDescent="0.25">
      <c r="A173" t="s">
        <v>3632</v>
      </c>
      <c r="B173" t="s">
        <v>6634</v>
      </c>
    </row>
    <row r="174" spans="1:2" x14ac:dyDescent="0.25">
      <c r="A174" t="s">
        <v>5530</v>
      </c>
      <c r="B174" t="s">
        <v>6635</v>
      </c>
    </row>
    <row r="175" spans="1:2" x14ac:dyDescent="0.25">
      <c r="A175" t="s">
        <v>5530</v>
      </c>
      <c r="B175" t="s">
        <v>6366</v>
      </c>
    </row>
    <row r="176" spans="1:2" x14ac:dyDescent="0.25">
      <c r="A176" t="s">
        <v>6636</v>
      </c>
      <c r="B176" t="s">
        <v>6637</v>
      </c>
    </row>
    <row r="177" spans="1:2" x14ac:dyDescent="0.25">
      <c r="A177" t="s">
        <v>6638</v>
      </c>
      <c r="B177" t="s">
        <v>6639</v>
      </c>
    </row>
    <row r="178" spans="1:2" x14ac:dyDescent="0.25">
      <c r="A178" t="s">
        <v>6640</v>
      </c>
      <c r="B178" t="s">
        <v>6641</v>
      </c>
    </row>
    <row r="179" spans="1:2" x14ac:dyDescent="0.25">
      <c r="A179" t="s">
        <v>5453</v>
      </c>
      <c r="B179" t="s">
        <v>6642</v>
      </c>
    </row>
    <row r="180" spans="1:2" x14ac:dyDescent="0.25">
      <c r="A180" t="s">
        <v>1051</v>
      </c>
      <c r="B180" t="s">
        <v>6643</v>
      </c>
    </row>
    <row r="181" spans="1:2" x14ac:dyDescent="0.25">
      <c r="A181" t="s">
        <v>2025</v>
      </c>
      <c r="B181" t="s">
        <v>6644</v>
      </c>
    </row>
    <row r="182" spans="1:2" x14ac:dyDescent="0.25">
      <c r="A182" t="s">
        <v>6645</v>
      </c>
      <c r="B182" t="s">
        <v>6646</v>
      </c>
    </row>
    <row r="183" spans="1:2" x14ac:dyDescent="0.25">
      <c r="A183" t="s">
        <v>6645</v>
      </c>
      <c r="B183" t="s">
        <v>6647</v>
      </c>
    </row>
    <row r="184" spans="1:2" x14ac:dyDescent="0.25">
      <c r="A184" t="s">
        <v>6648</v>
      </c>
      <c r="B184" t="s">
        <v>6649</v>
      </c>
    </row>
    <row r="185" spans="1:2" x14ac:dyDescent="0.25">
      <c r="A185" t="s">
        <v>6650</v>
      </c>
      <c r="B185" t="s">
        <v>6651</v>
      </c>
    </row>
    <row r="186" spans="1:2" x14ac:dyDescent="0.25">
      <c r="A186" t="s">
        <v>6650</v>
      </c>
      <c r="B186" t="s">
        <v>6652</v>
      </c>
    </row>
    <row r="187" spans="1:2" x14ac:dyDescent="0.25">
      <c r="A187" t="s">
        <v>4685</v>
      </c>
      <c r="B187" t="s">
        <v>6653</v>
      </c>
    </row>
    <row r="188" spans="1:2" x14ac:dyDescent="0.25">
      <c r="A188" t="s">
        <v>6654</v>
      </c>
      <c r="B188" t="s">
        <v>6655</v>
      </c>
    </row>
    <row r="189" spans="1:2" x14ac:dyDescent="0.25">
      <c r="A189" t="s">
        <v>1233</v>
      </c>
      <c r="B189" t="s">
        <v>6656</v>
      </c>
    </row>
    <row r="190" spans="1:2" x14ac:dyDescent="0.25">
      <c r="A190" t="s">
        <v>518</v>
      </c>
      <c r="B190" t="s">
        <v>6657</v>
      </c>
    </row>
    <row r="191" spans="1:2" x14ac:dyDescent="0.25">
      <c r="A191" t="s">
        <v>2163</v>
      </c>
      <c r="B191" t="s">
        <v>6658</v>
      </c>
    </row>
    <row r="192" spans="1:2" x14ac:dyDescent="0.25">
      <c r="A192" t="s">
        <v>6659</v>
      </c>
      <c r="B192" t="s">
        <v>6660</v>
      </c>
    </row>
    <row r="193" spans="1:2" x14ac:dyDescent="0.25">
      <c r="A193" t="s">
        <v>6661</v>
      </c>
      <c r="B193" t="s">
        <v>6662</v>
      </c>
    </row>
    <row r="194" spans="1:2" x14ac:dyDescent="0.25">
      <c r="A194" t="s">
        <v>6663</v>
      </c>
      <c r="B194" t="s">
        <v>6376</v>
      </c>
    </row>
    <row r="195" spans="1:2" x14ac:dyDescent="0.25">
      <c r="A195" t="s">
        <v>3853</v>
      </c>
      <c r="B195" t="s">
        <v>6664</v>
      </c>
    </row>
    <row r="196" spans="1:2" x14ac:dyDescent="0.25">
      <c r="A196" t="s">
        <v>3853</v>
      </c>
      <c r="B196" t="s">
        <v>6665</v>
      </c>
    </row>
    <row r="197" spans="1:2" x14ac:dyDescent="0.25">
      <c r="A197" t="s">
        <v>3596</v>
      </c>
      <c r="B197" t="s">
        <v>6666</v>
      </c>
    </row>
    <row r="198" spans="1:2" x14ac:dyDescent="0.25">
      <c r="A198" t="s">
        <v>3596</v>
      </c>
      <c r="B198" t="s">
        <v>6652</v>
      </c>
    </row>
    <row r="199" spans="1:2" x14ac:dyDescent="0.25">
      <c r="A199" t="s">
        <v>6667</v>
      </c>
      <c r="B199" t="s">
        <v>6668</v>
      </c>
    </row>
    <row r="200" spans="1:2" x14ac:dyDescent="0.25">
      <c r="A200" t="s">
        <v>6669</v>
      </c>
      <c r="B200" t="s">
        <v>6670</v>
      </c>
    </row>
    <row r="201" spans="1:2" x14ac:dyDescent="0.25">
      <c r="A201" t="s">
        <v>6671</v>
      </c>
      <c r="B201" t="s">
        <v>6672</v>
      </c>
    </row>
    <row r="202" spans="1:2" x14ac:dyDescent="0.25">
      <c r="A202" t="s">
        <v>6673</v>
      </c>
      <c r="B202" t="s">
        <v>6674</v>
      </c>
    </row>
    <row r="203" spans="1:2" x14ac:dyDescent="0.25">
      <c r="A203" t="s">
        <v>6675</v>
      </c>
      <c r="B203" t="s">
        <v>6676</v>
      </c>
    </row>
    <row r="204" spans="1:2" x14ac:dyDescent="0.25">
      <c r="A204" t="s">
        <v>6675</v>
      </c>
      <c r="B204" t="s">
        <v>6677</v>
      </c>
    </row>
    <row r="205" spans="1:2" x14ac:dyDescent="0.25">
      <c r="A205" t="s">
        <v>6678</v>
      </c>
      <c r="B205" t="s">
        <v>6679</v>
      </c>
    </row>
    <row r="206" spans="1:2" x14ac:dyDescent="0.25">
      <c r="A206" t="s">
        <v>6680</v>
      </c>
      <c r="B206" t="s">
        <v>6681</v>
      </c>
    </row>
    <row r="207" spans="1:2" x14ac:dyDescent="0.25">
      <c r="A207" t="s">
        <v>6682</v>
      </c>
      <c r="B207" t="s">
        <v>6683</v>
      </c>
    </row>
    <row r="208" spans="1:2" x14ac:dyDescent="0.25">
      <c r="A208" t="s">
        <v>6684</v>
      </c>
      <c r="B208" t="s">
        <v>6538</v>
      </c>
    </row>
    <row r="209" spans="1:2" x14ac:dyDescent="0.25">
      <c r="A209" t="s">
        <v>3334</v>
      </c>
      <c r="B209" t="s">
        <v>6685</v>
      </c>
    </row>
    <row r="210" spans="1:2" x14ac:dyDescent="0.25">
      <c r="A210" t="s">
        <v>6686</v>
      </c>
      <c r="B210" t="s">
        <v>6687</v>
      </c>
    </row>
    <row r="211" spans="1:2" x14ac:dyDescent="0.25">
      <c r="A211" t="s">
        <v>6688</v>
      </c>
      <c r="B211" t="s">
        <v>6689</v>
      </c>
    </row>
    <row r="212" spans="1:2" x14ac:dyDescent="0.25">
      <c r="A212" t="s">
        <v>1207</v>
      </c>
      <c r="B212" t="s">
        <v>6690</v>
      </c>
    </row>
    <row r="213" spans="1:2" x14ac:dyDescent="0.25">
      <c r="A213" t="s">
        <v>1207</v>
      </c>
      <c r="B213" t="s">
        <v>6691</v>
      </c>
    </row>
    <row r="214" spans="1:2" x14ac:dyDescent="0.25">
      <c r="A214" t="s">
        <v>4509</v>
      </c>
      <c r="B214" t="s">
        <v>6692</v>
      </c>
    </row>
    <row r="215" spans="1:2" x14ac:dyDescent="0.25">
      <c r="A215" t="s">
        <v>4509</v>
      </c>
      <c r="B215" t="s">
        <v>6693</v>
      </c>
    </row>
    <row r="216" spans="1:2" x14ac:dyDescent="0.25">
      <c r="A216" t="s">
        <v>703</v>
      </c>
      <c r="B216" t="s">
        <v>6694</v>
      </c>
    </row>
    <row r="217" spans="1:2" x14ac:dyDescent="0.25">
      <c r="A217" t="s">
        <v>703</v>
      </c>
      <c r="B217" t="s">
        <v>6695</v>
      </c>
    </row>
    <row r="218" spans="1:2" x14ac:dyDescent="0.25">
      <c r="A218" t="s">
        <v>1525</v>
      </c>
      <c r="B218" t="s">
        <v>6696</v>
      </c>
    </row>
    <row r="219" spans="1:2" x14ac:dyDescent="0.25">
      <c r="A219" t="s">
        <v>6697</v>
      </c>
      <c r="B219" t="s">
        <v>6698</v>
      </c>
    </row>
    <row r="220" spans="1:2" x14ac:dyDescent="0.25">
      <c r="A220" t="s">
        <v>3991</v>
      </c>
      <c r="B220" t="s">
        <v>6699</v>
      </c>
    </row>
    <row r="221" spans="1:2" x14ac:dyDescent="0.25">
      <c r="A221" t="s">
        <v>6700</v>
      </c>
      <c r="B221" t="s">
        <v>6701</v>
      </c>
    </row>
    <row r="222" spans="1:2" x14ac:dyDescent="0.25">
      <c r="A222" t="s">
        <v>1719</v>
      </c>
      <c r="B222" t="s">
        <v>6702</v>
      </c>
    </row>
    <row r="223" spans="1:2" x14ac:dyDescent="0.25">
      <c r="A223" t="s">
        <v>1946</v>
      </c>
      <c r="B223" t="s">
        <v>6703</v>
      </c>
    </row>
    <row r="224" spans="1:2" x14ac:dyDescent="0.25">
      <c r="A224" t="s">
        <v>1714</v>
      </c>
      <c r="B224" t="s">
        <v>6704</v>
      </c>
    </row>
    <row r="225" spans="1:2" x14ac:dyDescent="0.25">
      <c r="A225" t="s">
        <v>6705</v>
      </c>
      <c r="B225" t="s">
        <v>6706</v>
      </c>
    </row>
    <row r="226" spans="1:2" x14ac:dyDescent="0.25">
      <c r="A226" t="s">
        <v>3480</v>
      </c>
      <c r="B226" t="s">
        <v>6551</v>
      </c>
    </row>
    <row r="227" spans="1:2" x14ac:dyDescent="0.25">
      <c r="A227" t="s">
        <v>6707</v>
      </c>
      <c r="B227" t="s">
        <v>6708</v>
      </c>
    </row>
    <row r="228" spans="1:2" x14ac:dyDescent="0.25">
      <c r="A228" t="s">
        <v>6709</v>
      </c>
      <c r="B228" t="s">
        <v>6710</v>
      </c>
    </row>
    <row r="229" spans="1:2" x14ac:dyDescent="0.25">
      <c r="A229" t="s">
        <v>6711</v>
      </c>
      <c r="B229" t="s">
        <v>6712</v>
      </c>
    </row>
    <row r="230" spans="1:2" x14ac:dyDescent="0.25">
      <c r="A230" t="s">
        <v>6713</v>
      </c>
      <c r="B230" t="s">
        <v>6714</v>
      </c>
    </row>
    <row r="231" spans="1:2" x14ac:dyDescent="0.25">
      <c r="A231" t="s">
        <v>6715</v>
      </c>
      <c r="B231" t="s">
        <v>6716</v>
      </c>
    </row>
    <row r="232" spans="1:2" x14ac:dyDescent="0.25">
      <c r="A232" t="s">
        <v>1747</v>
      </c>
      <c r="B232" t="s">
        <v>6717</v>
      </c>
    </row>
  </sheetData>
  <sortState xmlns:xlrd2="http://schemas.microsoft.com/office/spreadsheetml/2017/richdata2" ref="A3:B225">
    <sortCondition ref="A3:A225"/>
  </sortState>
  <mergeCells count="4">
    <mergeCell ref="F25:M25"/>
    <mergeCell ref="K2:M2"/>
    <mergeCell ref="K12:M12"/>
    <mergeCell ref="F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75B3ADEF42B488B63579A9A5F62FC" ma:contentTypeVersion="15" ma:contentTypeDescription="Create a new document." ma:contentTypeScope="" ma:versionID="c4e7902d1a1ab713808cd3df63665908">
  <xsd:schema xmlns:xsd="http://www.w3.org/2001/XMLSchema" xmlns:xs="http://www.w3.org/2001/XMLSchema" xmlns:p="http://schemas.microsoft.com/office/2006/metadata/properties" xmlns:ns1="http://schemas.microsoft.com/sharepoint/v3" xmlns:ns3="e19fbb85-0a90-4360-9a54-e8a440f7c969" xmlns:ns4="8a5e4620-8222-41e8-a688-03f115341f64" targetNamespace="http://schemas.microsoft.com/office/2006/metadata/properties" ma:root="true" ma:fieldsID="c6680be4ecf13a076845dbfedcd57b9c" ns1:_="" ns3:_="" ns4:_="">
    <xsd:import namespace="http://schemas.microsoft.com/sharepoint/v3"/>
    <xsd:import namespace="e19fbb85-0a90-4360-9a54-e8a440f7c969"/>
    <xsd:import namespace="8a5e4620-8222-41e8-a688-03f115341f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fbb85-0a90-4360-9a54-e8a440f7c9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e4620-8222-41e8-a688-03f115341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B2BE0C-F1D9-430E-9338-0EC1746BF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9fbb85-0a90-4360-9a54-e8a440f7c969"/>
    <ds:schemaRef ds:uri="8a5e4620-8222-41e8-a688-03f115341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C419A-4558-4B40-833C-1CAEFFFCF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B9C04-F666-40B5-9417-A0B9E5991BE7}">
  <ds:schemaRefs>
    <ds:schemaRef ds:uri="http://purl.org/dc/terms/"/>
    <ds:schemaRef ds:uri="e19fbb85-0a90-4360-9a54-e8a440f7c969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8a5e4620-8222-41e8-a688-03f115341f64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TableofContents</vt:lpstr>
      <vt:lpstr>Entrees(001-099)</vt:lpstr>
      <vt:lpstr>Breakfast(100-199)</vt:lpstr>
      <vt:lpstr>Sides(200-299)</vt:lpstr>
      <vt:lpstr>Sweets,BakedGoods(300-399)</vt:lpstr>
      <vt:lpstr>Dressing,Sauce,Gravy(400-499)</vt:lpstr>
      <vt:lpstr>Misc(500-599)</vt:lpstr>
      <vt:lpstr>Item Weights and Measurements</vt:lpstr>
      <vt:lpstr>'Breakfast(100-199)'!Print_Area</vt:lpstr>
      <vt:lpstr>'Dressing,Sauce,Gravy(400-499)'!Print_Area</vt:lpstr>
      <vt:lpstr>'Entrees(001-099)'!Print_Area</vt:lpstr>
      <vt:lpstr>'Misc(500-599)'!Print_Area</vt:lpstr>
      <vt:lpstr>'Sides(200-299)'!Print_Area</vt:lpstr>
      <vt:lpstr>'Sweets,BakedGoods(300-399)'!Print_Area</vt:lpstr>
      <vt:lpstr>TableofContents!Print_Area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Fuerte</dc:creator>
  <cp:keywords/>
  <dc:description/>
  <cp:lastModifiedBy>Renda Jost</cp:lastModifiedBy>
  <cp:revision/>
  <dcterms:created xsi:type="dcterms:W3CDTF">2019-07-11T17:41:19Z</dcterms:created>
  <dcterms:modified xsi:type="dcterms:W3CDTF">2020-10-24T03:19:12Z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0x01010012775B3ADEF42B488B63579A9A5F62FC</vt:lpwstr>
  </property>
</Properties>
</file>